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4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NA1044 .B55 1970</t>
        </is>
      </c>
      <c r="C2" t="inlineStr">
        <is>
          <t>0                      NA 1044000B  55          1970</t>
        </is>
      </c>
      <c r="D2" t="inlineStr">
        <is>
          <t>Three hundred years of French architecture 1494-1794.</t>
        </is>
      </c>
      <c r="F2" t="inlineStr">
        <is>
          <t>No</t>
        </is>
      </c>
      <c r="G2" t="inlineStr">
        <is>
          <t>1</t>
        </is>
      </c>
      <c r="H2" t="inlineStr">
        <is>
          <t>No</t>
        </is>
      </c>
      <c r="I2" t="inlineStr">
        <is>
          <t>No</t>
        </is>
      </c>
      <c r="J2" t="inlineStr">
        <is>
          <t>0</t>
        </is>
      </c>
      <c r="K2" t="inlineStr">
        <is>
          <t>Blomfield, Reginald Theodore, Sir, 1856-1942.</t>
        </is>
      </c>
      <c r="L2" t="inlineStr">
        <is>
          <t>Freeport, N.Y., Books for Libraries Press [1970]</t>
        </is>
      </c>
      <c r="M2" t="inlineStr">
        <is>
          <t>1970</t>
        </is>
      </c>
      <c r="O2" t="inlineStr">
        <is>
          <t>eng</t>
        </is>
      </c>
      <c r="P2" t="inlineStr">
        <is>
          <t>nyu</t>
        </is>
      </c>
      <c r="R2" t="inlineStr">
        <is>
          <t xml:space="preserve">NA </t>
        </is>
      </c>
      <c r="S2" t="n">
        <v>2</v>
      </c>
      <c r="T2" t="n">
        <v>2</v>
      </c>
      <c r="U2" t="inlineStr">
        <is>
          <t>2001-02-22</t>
        </is>
      </c>
      <c r="V2" t="inlineStr">
        <is>
          <t>2001-02-22</t>
        </is>
      </c>
      <c r="W2" t="inlineStr">
        <is>
          <t>1997-07-01</t>
        </is>
      </c>
      <c r="X2" t="inlineStr">
        <is>
          <t>1997-07-01</t>
        </is>
      </c>
      <c r="Y2" t="n">
        <v>190</v>
      </c>
      <c r="Z2" t="n">
        <v>172</v>
      </c>
      <c r="AA2" t="n">
        <v>307</v>
      </c>
      <c r="AB2" t="n">
        <v>4</v>
      </c>
      <c r="AC2" t="n">
        <v>4</v>
      </c>
      <c r="AD2" t="n">
        <v>7</v>
      </c>
      <c r="AE2" t="n">
        <v>13</v>
      </c>
      <c r="AF2" t="n">
        <v>1</v>
      </c>
      <c r="AG2" t="n">
        <v>3</v>
      </c>
      <c r="AH2" t="n">
        <v>2</v>
      </c>
      <c r="AI2" t="n">
        <v>3</v>
      </c>
      <c r="AJ2" t="n">
        <v>2</v>
      </c>
      <c r="AK2" t="n">
        <v>6</v>
      </c>
      <c r="AL2" t="n">
        <v>3</v>
      </c>
      <c r="AM2" t="n">
        <v>3</v>
      </c>
      <c r="AN2" t="n">
        <v>0</v>
      </c>
      <c r="AO2" t="n">
        <v>0</v>
      </c>
      <c r="AP2" t="inlineStr">
        <is>
          <t>No</t>
        </is>
      </c>
      <c r="AQ2" t="inlineStr">
        <is>
          <t>Yes</t>
        </is>
      </c>
      <c r="AR2">
        <f>HYPERLINK("http://catalog.hathitrust.org/Record/004502114","HathiTrust Record")</f>
        <v/>
      </c>
      <c r="AS2">
        <f>HYPERLINK("https://creighton-primo.hosted.exlibrisgroup.com/primo-explore/search?tab=default_tab&amp;search_scope=EVERYTHING&amp;vid=01CRU&amp;lang=en_US&amp;offset=0&amp;query=any,contains,991000528379702656","Catalog Record")</f>
        <v/>
      </c>
      <c r="AT2">
        <f>HYPERLINK("http://www.worldcat.org/oclc/89293","WorldCat Record")</f>
        <v/>
      </c>
      <c r="AU2" t="inlineStr">
        <is>
          <t>1292933:eng</t>
        </is>
      </c>
      <c r="AV2" t="inlineStr">
        <is>
          <t>89293</t>
        </is>
      </c>
      <c r="AW2" t="inlineStr">
        <is>
          <t>991000528379702656</t>
        </is>
      </c>
      <c r="AX2" t="inlineStr">
        <is>
          <t>991000528379702656</t>
        </is>
      </c>
      <c r="AY2" t="inlineStr">
        <is>
          <t>2258773940002656</t>
        </is>
      </c>
      <c r="AZ2" t="inlineStr">
        <is>
          <t>BOOK</t>
        </is>
      </c>
      <c r="BB2" t="inlineStr">
        <is>
          <t>9780836954142</t>
        </is>
      </c>
      <c r="BC2" t="inlineStr">
        <is>
          <t>32285002861747</t>
        </is>
      </c>
      <c r="BD2" t="inlineStr">
        <is>
          <t>893419547</t>
        </is>
      </c>
    </row>
    <row r="3">
      <c r="A3" t="inlineStr">
        <is>
          <t>No</t>
        </is>
      </c>
      <c r="B3" t="inlineStr">
        <is>
          <t>NA1046 .B47 1994</t>
        </is>
      </c>
      <c r="C3" t="inlineStr">
        <is>
          <t>0                      NA 1046000B  47          1994</t>
        </is>
      </c>
      <c r="D3" t="inlineStr">
        <is>
          <t>A royal passion : Louis XIV as patron of architecture / Robert W. Berger.</t>
        </is>
      </c>
      <c r="F3" t="inlineStr">
        <is>
          <t>No</t>
        </is>
      </c>
      <c r="G3" t="inlineStr">
        <is>
          <t>1</t>
        </is>
      </c>
      <c r="H3" t="inlineStr">
        <is>
          <t>No</t>
        </is>
      </c>
      <c r="I3" t="inlineStr">
        <is>
          <t>No</t>
        </is>
      </c>
      <c r="J3" t="inlineStr">
        <is>
          <t>0</t>
        </is>
      </c>
      <c r="K3" t="inlineStr">
        <is>
          <t>Berger, Robert W.</t>
        </is>
      </c>
      <c r="L3" t="inlineStr">
        <is>
          <t>Cambridge ; New York : Cambridge University Press, 1994.</t>
        </is>
      </c>
      <c r="M3" t="inlineStr">
        <is>
          <t>1994</t>
        </is>
      </c>
      <c r="O3" t="inlineStr">
        <is>
          <t>eng</t>
        </is>
      </c>
      <c r="P3" t="inlineStr">
        <is>
          <t>enk</t>
        </is>
      </c>
      <c r="R3" t="inlineStr">
        <is>
          <t xml:space="preserve">NA </t>
        </is>
      </c>
      <c r="S3" t="n">
        <v>7</v>
      </c>
      <c r="T3" t="n">
        <v>7</v>
      </c>
      <c r="U3" t="inlineStr">
        <is>
          <t>2007-04-02</t>
        </is>
      </c>
      <c r="V3" t="inlineStr">
        <is>
          <t>2007-04-02</t>
        </is>
      </c>
      <c r="W3" t="inlineStr">
        <is>
          <t>1995-04-17</t>
        </is>
      </c>
      <c r="X3" t="inlineStr">
        <is>
          <t>1995-04-17</t>
        </is>
      </c>
      <c r="Y3" t="n">
        <v>531</v>
      </c>
      <c r="Z3" t="n">
        <v>400</v>
      </c>
      <c r="AA3" t="n">
        <v>401</v>
      </c>
      <c r="AB3" t="n">
        <v>3</v>
      </c>
      <c r="AC3" t="n">
        <v>3</v>
      </c>
      <c r="AD3" t="n">
        <v>23</v>
      </c>
      <c r="AE3" t="n">
        <v>23</v>
      </c>
      <c r="AF3" t="n">
        <v>8</v>
      </c>
      <c r="AG3" t="n">
        <v>8</v>
      </c>
      <c r="AH3" t="n">
        <v>6</v>
      </c>
      <c r="AI3" t="n">
        <v>6</v>
      </c>
      <c r="AJ3" t="n">
        <v>11</v>
      </c>
      <c r="AK3" t="n">
        <v>11</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HYPERLINK("https://creighton-primo.hosted.exlibrisgroup.com/primo-explore/search?tab=default_tab&amp;search_scope=EVERYTHING&amp;vid=01CRU&amp;lang=en_US&amp;offset=0&amp;query=any,contains,991002167459702656","Catalog Record")</f>
        <v/>
      </c>
      <c r="AT3">
        <f>HYPERLINK("http://www.worldcat.org/oclc/27897074","WorldCat Record")</f>
        <v/>
      </c>
      <c r="AU3" t="inlineStr">
        <is>
          <t>343156:eng</t>
        </is>
      </c>
      <c r="AV3" t="inlineStr">
        <is>
          <t>27897074</t>
        </is>
      </c>
      <c r="AW3" t="inlineStr">
        <is>
          <t>991002167459702656</t>
        </is>
      </c>
      <c r="AX3" t="inlineStr">
        <is>
          <t>991002167459702656</t>
        </is>
      </c>
      <c r="AY3" t="inlineStr">
        <is>
          <t>2260640650002656</t>
        </is>
      </c>
      <c r="AZ3" t="inlineStr">
        <is>
          <t>BOOK</t>
        </is>
      </c>
      <c r="BB3" t="inlineStr">
        <is>
          <t>9780521440295</t>
        </is>
      </c>
      <c r="BC3" t="inlineStr">
        <is>
          <t>32285002018249</t>
        </is>
      </c>
      <c r="BD3" t="inlineStr">
        <is>
          <t>893804297</t>
        </is>
      </c>
    </row>
    <row r="4">
      <c r="A4" t="inlineStr">
        <is>
          <t>No</t>
        </is>
      </c>
      <c r="B4" t="inlineStr">
        <is>
          <t>NA1046 .B75 1980</t>
        </is>
      </c>
      <c r="C4" t="inlineStr">
        <is>
          <t>0                      NA 1046000B  75          1980</t>
        </is>
      </c>
      <c r="D4" t="inlineStr">
        <is>
          <t>The architecture of the French Enlightenment / Allan Braham.</t>
        </is>
      </c>
      <c r="F4" t="inlineStr">
        <is>
          <t>No</t>
        </is>
      </c>
      <c r="G4" t="inlineStr">
        <is>
          <t>1</t>
        </is>
      </c>
      <c r="H4" t="inlineStr">
        <is>
          <t>No</t>
        </is>
      </c>
      <c r="I4" t="inlineStr">
        <is>
          <t>No</t>
        </is>
      </c>
      <c r="J4" t="inlineStr">
        <is>
          <t>0</t>
        </is>
      </c>
      <c r="K4" t="inlineStr">
        <is>
          <t>Braham, Allan.</t>
        </is>
      </c>
      <c r="L4" t="inlineStr">
        <is>
          <t>Berkeley : University of California Press, c1980.</t>
        </is>
      </c>
      <c r="M4" t="inlineStr">
        <is>
          <t>1980</t>
        </is>
      </c>
      <c r="O4" t="inlineStr">
        <is>
          <t>eng</t>
        </is>
      </c>
      <c r="P4" t="inlineStr">
        <is>
          <t>cau</t>
        </is>
      </c>
      <c r="R4" t="inlineStr">
        <is>
          <t xml:space="preserve">NA </t>
        </is>
      </c>
      <c r="S4" t="n">
        <v>5</v>
      </c>
      <c r="T4" t="n">
        <v>5</v>
      </c>
      <c r="U4" t="inlineStr">
        <is>
          <t>1996-06-10</t>
        </is>
      </c>
      <c r="V4" t="inlineStr">
        <is>
          <t>1996-06-10</t>
        </is>
      </c>
      <c r="W4" t="inlineStr">
        <is>
          <t>1993-05-13</t>
        </is>
      </c>
      <c r="X4" t="inlineStr">
        <is>
          <t>1993-05-13</t>
        </is>
      </c>
      <c r="Y4" t="n">
        <v>524</v>
      </c>
      <c r="Z4" t="n">
        <v>448</v>
      </c>
      <c r="AA4" t="n">
        <v>500</v>
      </c>
      <c r="AB4" t="n">
        <v>2</v>
      </c>
      <c r="AC4" t="n">
        <v>3</v>
      </c>
      <c r="AD4" t="n">
        <v>23</v>
      </c>
      <c r="AE4" t="n">
        <v>24</v>
      </c>
      <c r="AF4" t="n">
        <v>8</v>
      </c>
      <c r="AG4" t="n">
        <v>8</v>
      </c>
      <c r="AH4" t="n">
        <v>6</v>
      </c>
      <c r="AI4" t="n">
        <v>6</v>
      </c>
      <c r="AJ4" t="n">
        <v>14</v>
      </c>
      <c r="AK4" t="n">
        <v>14</v>
      </c>
      <c r="AL4" t="n">
        <v>1</v>
      </c>
      <c r="AM4" t="n">
        <v>2</v>
      </c>
      <c r="AN4" t="n">
        <v>0</v>
      </c>
      <c r="AO4" t="n">
        <v>0</v>
      </c>
      <c r="AP4" t="inlineStr">
        <is>
          <t>No</t>
        </is>
      </c>
      <c r="AQ4" t="inlineStr">
        <is>
          <t>No</t>
        </is>
      </c>
      <c r="AS4">
        <f>HYPERLINK("https://creighton-primo.hosted.exlibrisgroup.com/primo-explore/search?tab=default_tab&amp;search_scope=EVERYTHING&amp;vid=01CRU&amp;lang=en_US&amp;offset=0&amp;query=any,contains,991004914519702656","Catalog Record")</f>
        <v/>
      </c>
      <c r="AT4">
        <f>HYPERLINK("http://www.worldcat.org/oclc/6014957","WorldCat Record")</f>
        <v/>
      </c>
      <c r="AU4" t="inlineStr">
        <is>
          <t>19736218:eng</t>
        </is>
      </c>
      <c r="AV4" t="inlineStr">
        <is>
          <t>6014957</t>
        </is>
      </c>
      <c r="AW4" t="inlineStr">
        <is>
          <t>991004914519702656</t>
        </is>
      </c>
      <c r="AX4" t="inlineStr">
        <is>
          <t>991004914519702656</t>
        </is>
      </c>
      <c r="AY4" t="inlineStr">
        <is>
          <t>2267198980002656</t>
        </is>
      </c>
      <c r="AZ4" t="inlineStr">
        <is>
          <t>BOOK</t>
        </is>
      </c>
      <c r="BB4" t="inlineStr">
        <is>
          <t>9780520041172</t>
        </is>
      </c>
      <c r="BC4" t="inlineStr">
        <is>
          <t>32285001654739</t>
        </is>
      </c>
      <c r="BD4" t="inlineStr">
        <is>
          <t>893350494</t>
        </is>
      </c>
    </row>
    <row r="5">
      <c r="A5" t="inlineStr">
        <is>
          <t>No</t>
        </is>
      </c>
      <c r="B5" t="inlineStr">
        <is>
          <t>NA105 .F47 1982</t>
        </is>
      </c>
      <c r="C5" t="inlineStr">
        <is>
          <t>0                      NA 0105000F  47          1982</t>
        </is>
      </c>
      <c r="D5" t="inlineStr">
        <is>
          <t>Historic preservation : curatorial management of the built world / James Marston Fitch.</t>
        </is>
      </c>
      <c r="F5" t="inlineStr">
        <is>
          <t>No</t>
        </is>
      </c>
      <c r="G5" t="inlineStr">
        <is>
          <t>1</t>
        </is>
      </c>
      <c r="H5" t="inlineStr">
        <is>
          <t>No</t>
        </is>
      </c>
      <c r="I5" t="inlineStr">
        <is>
          <t>No</t>
        </is>
      </c>
      <c r="J5" t="inlineStr">
        <is>
          <t>0</t>
        </is>
      </c>
      <c r="K5" t="inlineStr">
        <is>
          <t>Fitch, James Marston.</t>
        </is>
      </c>
      <c r="L5" t="inlineStr">
        <is>
          <t>New York : McGraw-Hill, c1982.</t>
        </is>
      </c>
      <c r="M5" t="inlineStr">
        <is>
          <t>1982</t>
        </is>
      </c>
      <c r="O5" t="inlineStr">
        <is>
          <t>eng</t>
        </is>
      </c>
      <c r="P5" t="inlineStr">
        <is>
          <t>nyu</t>
        </is>
      </c>
      <c r="R5" t="inlineStr">
        <is>
          <t xml:space="preserve">NA </t>
        </is>
      </c>
      <c r="S5" t="n">
        <v>1</v>
      </c>
      <c r="T5" t="n">
        <v>1</v>
      </c>
      <c r="U5" t="inlineStr">
        <is>
          <t>1996-01-15</t>
        </is>
      </c>
      <c r="V5" t="inlineStr">
        <is>
          <t>1996-01-15</t>
        </is>
      </c>
      <c r="W5" t="inlineStr">
        <is>
          <t>1990-06-06</t>
        </is>
      </c>
      <c r="X5" t="inlineStr">
        <is>
          <t>1990-06-06</t>
        </is>
      </c>
      <c r="Y5" t="n">
        <v>492</v>
      </c>
      <c r="Z5" t="n">
        <v>401</v>
      </c>
      <c r="AA5" t="n">
        <v>590</v>
      </c>
      <c r="AB5" t="n">
        <v>3</v>
      </c>
      <c r="AC5" t="n">
        <v>4</v>
      </c>
      <c r="AD5" t="n">
        <v>15</v>
      </c>
      <c r="AE5" t="n">
        <v>19</v>
      </c>
      <c r="AF5" t="n">
        <v>4</v>
      </c>
      <c r="AG5" t="n">
        <v>5</v>
      </c>
      <c r="AH5" t="n">
        <v>4</v>
      </c>
      <c r="AI5" t="n">
        <v>5</v>
      </c>
      <c r="AJ5" t="n">
        <v>8</v>
      </c>
      <c r="AK5" t="n">
        <v>10</v>
      </c>
      <c r="AL5" t="n">
        <v>2</v>
      </c>
      <c r="AM5" t="n">
        <v>3</v>
      </c>
      <c r="AN5" t="n">
        <v>0</v>
      </c>
      <c r="AO5" t="n">
        <v>0</v>
      </c>
      <c r="AP5" t="inlineStr">
        <is>
          <t>No</t>
        </is>
      </c>
      <c r="AQ5" t="inlineStr">
        <is>
          <t>Yes</t>
        </is>
      </c>
      <c r="AR5">
        <f>HYPERLINK("http://catalog.hathitrust.org/Record/000101074","HathiTrust Record")</f>
        <v/>
      </c>
      <c r="AS5">
        <f>HYPERLINK("https://creighton-primo.hosted.exlibrisgroup.com/primo-explore/search?tab=default_tab&amp;search_scope=EVERYTHING&amp;vid=01CRU&amp;lang=en_US&amp;offset=0&amp;query=any,contains,991005049309702656","Catalog Record")</f>
        <v/>
      </c>
      <c r="AT5">
        <f>HYPERLINK("http://www.worldcat.org/oclc/6863245","WorldCat Record")</f>
        <v/>
      </c>
      <c r="AU5" t="inlineStr">
        <is>
          <t>905558:eng</t>
        </is>
      </c>
      <c r="AV5" t="inlineStr">
        <is>
          <t>6863245</t>
        </is>
      </c>
      <c r="AW5" t="inlineStr">
        <is>
          <t>991005049309702656</t>
        </is>
      </c>
      <c r="AX5" t="inlineStr">
        <is>
          <t>991005049309702656</t>
        </is>
      </c>
      <c r="AY5" t="inlineStr">
        <is>
          <t>2271980760002656</t>
        </is>
      </c>
      <c r="AZ5" t="inlineStr">
        <is>
          <t>BOOK</t>
        </is>
      </c>
      <c r="BB5" t="inlineStr">
        <is>
          <t>9780070211216</t>
        </is>
      </c>
      <c r="BC5" t="inlineStr">
        <is>
          <t>32285000182906</t>
        </is>
      </c>
      <c r="BD5" t="inlineStr">
        <is>
          <t>893594388</t>
        </is>
      </c>
    </row>
    <row r="6">
      <c r="A6" t="inlineStr">
        <is>
          <t>No</t>
        </is>
      </c>
      <c r="B6" t="inlineStr">
        <is>
          <t>NA1050 .G57 1997</t>
        </is>
      </c>
      <c r="C6" t="inlineStr">
        <is>
          <t>0                      NA 1050000G  57          1997</t>
        </is>
      </c>
      <c r="D6" t="inlineStr">
        <is>
          <t>Paris, contemporary architecture / Andrea Gleininger, Gerhard Matzig, Sebastian Redecke.</t>
        </is>
      </c>
      <c r="F6" t="inlineStr">
        <is>
          <t>No</t>
        </is>
      </c>
      <c r="G6" t="inlineStr">
        <is>
          <t>1</t>
        </is>
      </c>
      <c r="H6" t="inlineStr">
        <is>
          <t>No</t>
        </is>
      </c>
      <c r="I6" t="inlineStr">
        <is>
          <t>No</t>
        </is>
      </c>
      <c r="J6" t="inlineStr">
        <is>
          <t>0</t>
        </is>
      </c>
      <c r="K6" t="inlineStr">
        <is>
          <t>Gleininger, Andrea.</t>
        </is>
      </c>
      <c r="L6" t="inlineStr">
        <is>
          <t>Munich ; New York : Prestel, c1997.</t>
        </is>
      </c>
      <c r="M6" t="inlineStr">
        <is>
          <t>1997</t>
        </is>
      </c>
      <c r="O6" t="inlineStr">
        <is>
          <t>eng</t>
        </is>
      </c>
      <c r="P6" t="inlineStr">
        <is>
          <t xml:space="preserve">gw </t>
        </is>
      </c>
      <c r="R6" t="inlineStr">
        <is>
          <t xml:space="preserve">NA </t>
        </is>
      </c>
      <c r="S6" t="n">
        <v>5</v>
      </c>
      <c r="T6" t="n">
        <v>5</v>
      </c>
      <c r="U6" t="inlineStr">
        <is>
          <t>2009-02-22</t>
        </is>
      </c>
      <c r="V6" t="inlineStr">
        <is>
          <t>2009-02-22</t>
        </is>
      </c>
      <c r="W6" t="inlineStr">
        <is>
          <t>1999-04-09</t>
        </is>
      </c>
      <c r="X6" t="inlineStr">
        <is>
          <t>1999-04-09</t>
        </is>
      </c>
      <c r="Y6" t="n">
        <v>308</v>
      </c>
      <c r="Z6" t="n">
        <v>191</v>
      </c>
      <c r="AA6" t="n">
        <v>197</v>
      </c>
      <c r="AB6" t="n">
        <v>3</v>
      </c>
      <c r="AC6" t="n">
        <v>3</v>
      </c>
      <c r="AD6" t="n">
        <v>7</v>
      </c>
      <c r="AE6" t="n">
        <v>7</v>
      </c>
      <c r="AF6" t="n">
        <v>2</v>
      </c>
      <c r="AG6" t="n">
        <v>2</v>
      </c>
      <c r="AH6" t="n">
        <v>1</v>
      </c>
      <c r="AI6" t="n">
        <v>1</v>
      </c>
      <c r="AJ6" t="n">
        <v>2</v>
      </c>
      <c r="AK6" t="n">
        <v>2</v>
      </c>
      <c r="AL6" t="n">
        <v>2</v>
      </c>
      <c r="AM6" t="n">
        <v>2</v>
      </c>
      <c r="AN6" t="n">
        <v>0</v>
      </c>
      <c r="AO6" t="n">
        <v>0</v>
      </c>
      <c r="AP6" t="inlineStr">
        <is>
          <t>No</t>
        </is>
      </c>
      <c r="AQ6" t="inlineStr">
        <is>
          <t>Yes</t>
        </is>
      </c>
      <c r="AR6">
        <f>HYPERLINK("http://catalog.hathitrust.org/Record/004058364","HathiTrust Record")</f>
        <v/>
      </c>
      <c r="AS6">
        <f>HYPERLINK("https://creighton-primo.hosted.exlibrisgroup.com/primo-explore/search?tab=default_tab&amp;search_scope=EVERYTHING&amp;vid=01CRU&amp;lang=en_US&amp;offset=0&amp;query=any,contains,991002790139702656","Catalog Record")</f>
        <v/>
      </c>
      <c r="AT6">
        <f>HYPERLINK("http://www.worldcat.org/oclc/36648520","WorldCat Record")</f>
        <v/>
      </c>
      <c r="AU6" t="inlineStr">
        <is>
          <t>630490:eng</t>
        </is>
      </c>
      <c r="AV6" t="inlineStr">
        <is>
          <t>36648520</t>
        </is>
      </c>
      <c r="AW6" t="inlineStr">
        <is>
          <t>991002790139702656</t>
        </is>
      </c>
      <c r="AX6" t="inlineStr">
        <is>
          <t>991002790139702656</t>
        </is>
      </c>
      <c r="AY6" t="inlineStr">
        <is>
          <t>2266061030002656</t>
        </is>
      </c>
      <c r="AZ6" t="inlineStr">
        <is>
          <t>BOOK</t>
        </is>
      </c>
      <c r="BB6" t="inlineStr">
        <is>
          <t>9783791316550</t>
        </is>
      </c>
      <c r="BC6" t="inlineStr">
        <is>
          <t>32285003561056</t>
        </is>
      </c>
      <c r="BD6" t="inlineStr">
        <is>
          <t>893317257</t>
        </is>
      </c>
    </row>
    <row r="7">
      <c r="A7" t="inlineStr">
        <is>
          <t>No</t>
        </is>
      </c>
      <c r="B7" t="inlineStr">
        <is>
          <t>NA1050 .S87 1993</t>
        </is>
      </c>
      <c r="C7" t="inlineStr">
        <is>
          <t>0                      NA 1050000S  87          1993</t>
        </is>
      </c>
      <c r="D7" t="inlineStr">
        <is>
          <t>Paris : an architectural history / Anthony Sutcliffe.</t>
        </is>
      </c>
      <c r="F7" t="inlineStr">
        <is>
          <t>No</t>
        </is>
      </c>
      <c r="G7" t="inlineStr">
        <is>
          <t>1</t>
        </is>
      </c>
      <c r="H7" t="inlineStr">
        <is>
          <t>No</t>
        </is>
      </c>
      <c r="I7" t="inlineStr">
        <is>
          <t>No</t>
        </is>
      </c>
      <c r="J7" t="inlineStr">
        <is>
          <t>0</t>
        </is>
      </c>
      <c r="K7" t="inlineStr">
        <is>
          <t>Sutcliffe, Anthony, 1942-2011.</t>
        </is>
      </c>
      <c r="L7" t="inlineStr">
        <is>
          <t>New Haven : Yale University Press, 1993.</t>
        </is>
      </c>
      <c r="M7" t="inlineStr">
        <is>
          <t>1993</t>
        </is>
      </c>
      <c r="O7" t="inlineStr">
        <is>
          <t>eng</t>
        </is>
      </c>
      <c r="P7" t="inlineStr">
        <is>
          <t>ctu</t>
        </is>
      </c>
      <c r="R7" t="inlineStr">
        <is>
          <t xml:space="preserve">NA </t>
        </is>
      </c>
      <c r="S7" t="n">
        <v>17</v>
      </c>
      <c r="T7" t="n">
        <v>17</v>
      </c>
      <c r="U7" t="inlineStr">
        <is>
          <t>2005-03-14</t>
        </is>
      </c>
      <c r="V7" t="inlineStr">
        <is>
          <t>2005-03-14</t>
        </is>
      </c>
      <c r="W7" t="inlineStr">
        <is>
          <t>1995-09-27</t>
        </is>
      </c>
      <c r="X7" t="inlineStr">
        <is>
          <t>1995-09-27</t>
        </is>
      </c>
      <c r="Y7" t="n">
        <v>963</v>
      </c>
      <c r="Z7" t="n">
        <v>760</v>
      </c>
      <c r="AA7" t="n">
        <v>785</v>
      </c>
      <c r="AB7" t="n">
        <v>5</v>
      </c>
      <c r="AC7" t="n">
        <v>5</v>
      </c>
      <c r="AD7" t="n">
        <v>34</v>
      </c>
      <c r="AE7" t="n">
        <v>36</v>
      </c>
      <c r="AF7" t="n">
        <v>16</v>
      </c>
      <c r="AG7" t="n">
        <v>16</v>
      </c>
      <c r="AH7" t="n">
        <v>7</v>
      </c>
      <c r="AI7" t="n">
        <v>8</v>
      </c>
      <c r="AJ7" t="n">
        <v>16</v>
      </c>
      <c r="AK7" t="n">
        <v>18</v>
      </c>
      <c r="AL7" t="n">
        <v>4</v>
      </c>
      <c r="AM7" t="n">
        <v>4</v>
      </c>
      <c r="AN7" t="n">
        <v>0</v>
      </c>
      <c r="AO7" t="n">
        <v>0</v>
      </c>
      <c r="AP7" t="inlineStr">
        <is>
          <t>No</t>
        </is>
      </c>
      <c r="AQ7" t="inlineStr">
        <is>
          <t>No</t>
        </is>
      </c>
      <c r="AS7">
        <f>HYPERLINK("https://creighton-primo.hosted.exlibrisgroup.com/primo-explore/search?tab=default_tab&amp;search_scope=EVERYTHING&amp;vid=01CRU&amp;lang=en_US&amp;offset=0&amp;query=any,contains,991005416309702656","Catalog Record")</f>
        <v/>
      </c>
      <c r="AT7">
        <f>HYPERLINK("http://www.worldcat.org/oclc/27265991","WorldCat Record")</f>
        <v/>
      </c>
      <c r="AU7" t="inlineStr">
        <is>
          <t>329823:eng</t>
        </is>
      </c>
      <c r="AV7" t="inlineStr">
        <is>
          <t>27265991</t>
        </is>
      </c>
      <c r="AW7" t="inlineStr">
        <is>
          <t>991005416309702656</t>
        </is>
      </c>
      <c r="AX7" t="inlineStr">
        <is>
          <t>991005416309702656</t>
        </is>
      </c>
      <c r="AY7" t="inlineStr">
        <is>
          <t>2269724890002656</t>
        </is>
      </c>
      <c r="AZ7" t="inlineStr">
        <is>
          <t>BOOK</t>
        </is>
      </c>
      <c r="BB7" t="inlineStr">
        <is>
          <t>9780300054453</t>
        </is>
      </c>
      <c r="BC7" t="inlineStr">
        <is>
          <t>32285002094836</t>
        </is>
      </c>
      <c r="BD7" t="inlineStr">
        <is>
          <t>893345156</t>
        </is>
      </c>
    </row>
    <row r="8">
      <c r="A8" t="inlineStr">
        <is>
          <t>No</t>
        </is>
      </c>
      <c r="B8" t="inlineStr">
        <is>
          <t>NA1050 .T53 1984</t>
        </is>
      </c>
      <c r="C8" t="inlineStr">
        <is>
          <t>0                      NA 1050000T  53          1984</t>
        </is>
      </c>
      <c r="D8" t="inlineStr">
        <is>
          <t>Renaissance Paris : architecture and growth, 1475-1600 / David Thomson.</t>
        </is>
      </c>
      <c r="F8" t="inlineStr">
        <is>
          <t>No</t>
        </is>
      </c>
      <c r="G8" t="inlineStr">
        <is>
          <t>1</t>
        </is>
      </c>
      <c r="H8" t="inlineStr">
        <is>
          <t>No</t>
        </is>
      </c>
      <c r="I8" t="inlineStr">
        <is>
          <t>No</t>
        </is>
      </c>
      <c r="J8" t="inlineStr">
        <is>
          <t>0</t>
        </is>
      </c>
      <c r="K8" t="inlineStr">
        <is>
          <t>Thomson, David, 1951-</t>
        </is>
      </c>
      <c r="L8" t="inlineStr">
        <is>
          <t>Berkeley : University of California Press, c1984.</t>
        </is>
      </c>
      <c r="M8" t="inlineStr">
        <is>
          <t>1984</t>
        </is>
      </c>
      <c r="O8" t="inlineStr">
        <is>
          <t>eng</t>
        </is>
      </c>
      <c r="P8" t="inlineStr">
        <is>
          <t>cau</t>
        </is>
      </c>
      <c r="R8" t="inlineStr">
        <is>
          <t xml:space="preserve">NA </t>
        </is>
      </c>
      <c r="S8" t="n">
        <v>1</v>
      </c>
      <c r="T8" t="n">
        <v>1</v>
      </c>
      <c r="U8" t="inlineStr">
        <is>
          <t>2009-05-19</t>
        </is>
      </c>
      <c r="V8" t="inlineStr">
        <is>
          <t>2009-05-19</t>
        </is>
      </c>
      <c r="W8" t="inlineStr">
        <is>
          <t>2009-05-19</t>
        </is>
      </c>
      <c r="X8" t="inlineStr">
        <is>
          <t>2009-05-19</t>
        </is>
      </c>
      <c r="Y8" t="n">
        <v>529</v>
      </c>
      <c r="Z8" t="n">
        <v>456</v>
      </c>
      <c r="AA8" t="n">
        <v>860</v>
      </c>
      <c r="AB8" t="n">
        <v>2</v>
      </c>
      <c r="AC8" t="n">
        <v>4</v>
      </c>
      <c r="AD8" t="n">
        <v>19</v>
      </c>
      <c r="AE8" t="n">
        <v>28</v>
      </c>
      <c r="AF8" t="n">
        <v>8</v>
      </c>
      <c r="AG8" t="n">
        <v>12</v>
      </c>
      <c r="AH8" t="n">
        <v>6</v>
      </c>
      <c r="AI8" t="n">
        <v>9</v>
      </c>
      <c r="AJ8" t="n">
        <v>10</v>
      </c>
      <c r="AK8" t="n">
        <v>12</v>
      </c>
      <c r="AL8" t="n">
        <v>1</v>
      </c>
      <c r="AM8" t="n">
        <v>3</v>
      </c>
      <c r="AN8" t="n">
        <v>0</v>
      </c>
      <c r="AO8" t="n">
        <v>0</v>
      </c>
      <c r="AP8" t="inlineStr">
        <is>
          <t>No</t>
        </is>
      </c>
      <c r="AQ8" t="inlineStr">
        <is>
          <t>Yes</t>
        </is>
      </c>
      <c r="AR8">
        <f>HYPERLINK("http://catalog.hathitrust.org/Record/000451969","HathiTrust Record")</f>
        <v/>
      </c>
      <c r="AS8">
        <f>HYPERLINK("https://creighton-primo.hosted.exlibrisgroup.com/primo-explore/search?tab=default_tab&amp;search_scope=EVERYTHING&amp;vid=01CRU&amp;lang=en_US&amp;offset=0&amp;query=any,contains,991005316429702656","Catalog Record")</f>
        <v/>
      </c>
      <c r="AT8">
        <f>HYPERLINK("http://www.worldcat.org/oclc/10753593","WorldCat Record")</f>
        <v/>
      </c>
      <c r="AU8" t="inlineStr">
        <is>
          <t>869978031:eng</t>
        </is>
      </c>
      <c r="AV8" t="inlineStr">
        <is>
          <t>10753593</t>
        </is>
      </c>
      <c r="AW8" t="inlineStr">
        <is>
          <t>991005316429702656</t>
        </is>
      </c>
      <c r="AX8" t="inlineStr">
        <is>
          <t>991005316429702656</t>
        </is>
      </c>
      <c r="AY8" t="inlineStr">
        <is>
          <t>2265507220002656</t>
        </is>
      </c>
      <c r="AZ8" t="inlineStr">
        <is>
          <t>BOOK</t>
        </is>
      </c>
      <c r="BB8" t="inlineStr">
        <is>
          <t>9780520053472</t>
        </is>
      </c>
      <c r="BC8" t="inlineStr">
        <is>
          <t>32285005532360</t>
        </is>
      </c>
      <c r="BD8" t="inlineStr">
        <is>
          <t>893527297</t>
        </is>
      </c>
    </row>
    <row r="9">
      <c r="A9" t="inlineStr">
        <is>
          <t>No</t>
        </is>
      </c>
      <c r="B9" t="inlineStr">
        <is>
          <t>NA1053.J4 T39 1987</t>
        </is>
      </c>
      <c r="C9" t="inlineStr">
        <is>
          <t>0                      NA 1053000J  4                  T  39          1987</t>
        </is>
      </c>
      <c r="D9" t="inlineStr">
        <is>
          <t>Le Corbusier, the City of Refuge, Paris 1929-33 / by Brian Brace Taylor ; with an introduction by Kenneth Frampton.</t>
        </is>
      </c>
      <c r="F9" t="inlineStr">
        <is>
          <t>No</t>
        </is>
      </c>
      <c r="G9" t="inlineStr">
        <is>
          <t>1</t>
        </is>
      </c>
      <c r="H9" t="inlineStr">
        <is>
          <t>No</t>
        </is>
      </c>
      <c r="I9" t="inlineStr">
        <is>
          <t>No</t>
        </is>
      </c>
      <c r="J9" t="inlineStr">
        <is>
          <t>0</t>
        </is>
      </c>
      <c r="K9" t="inlineStr">
        <is>
          <t>Taylor, Brian Brace.</t>
        </is>
      </c>
      <c r="L9" t="inlineStr">
        <is>
          <t>Chicago : University of Chicago Press, 1987.</t>
        </is>
      </c>
      <c r="M9" t="inlineStr">
        <is>
          <t>1987</t>
        </is>
      </c>
      <c r="O9" t="inlineStr">
        <is>
          <t>eng</t>
        </is>
      </c>
      <c r="P9" t="inlineStr">
        <is>
          <t>ilu</t>
        </is>
      </c>
      <c r="R9" t="inlineStr">
        <is>
          <t xml:space="preserve">NA </t>
        </is>
      </c>
      <c r="S9" t="n">
        <v>1</v>
      </c>
      <c r="T9" t="n">
        <v>1</v>
      </c>
      <c r="U9" t="inlineStr">
        <is>
          <t>1995-04-14</t>
        </is>
      </c>
      <c r="V9" t="inlineStr">
        <is>
          <t>1995-04-14</t>
        </is>
      </c>
      <c r="W9" t="inlineStr">
        <is>
          <t>1993-02-17</t>
        </is>
      </c>
      <c r="X9" t="inlineStr">
        <is>
          <t>1993-02-17</t>
        </is>
      </c>
      <c r="Y9" t="n">
        <v>401</v>
      </c>
      <c r="Z9" t="n">
        <v>305</v>
      </c>
      <c r="AA9" t="n">
        <v>305</v>
      </c>
      <c r="AB9" t="n">
        <v>2</v>
      </c>
      <c r="AC9" t="n">
        <v>2</v>
      </c>
      <c r="AD9" t="n">
        <v>11</v>
      </c>
      <c r="AE9" t="n">
        <v>11</v>
      </c>
      <c r="AF9" t="n">
        <v>3</v>
      </c>
      <c r="AG9" t="n">
        <v>3</v>
      </c>
      <c r="AH9" t="n">
        <v>3</v>
      </c>
      <c r="AI9" t="n">
        <v>3</v>
      </c>
      <c r="AJ9" t="n">
        <v>6</v>
      </c>
      <c r="AK9" t="n">
        <v>6</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HYPERLINK("https://creighton-primo.hosted.exlibrisgroup.com/primo-explore/search?tab=default_tab&amp;search_scope=EVERYTHING&amp;vid=01CRU&amp;lang=en_US&amp;offset=0&amp;query=any,contains,991001052099702656","Catalog Record")</f>
        <v/>
      </c>
      <c r="AT9">
        <f>HYPERLINK("http://www.worldcat.org/oclc/15657055","WorldCat Record")</f>
        <v/>
      </c>
      <c r="AU9" t="inlineStr">
        <is>
          <t>8961422208:eng</t>
        </is>
      </c>
      <c r="AV9" t="inlineStr">
        <is>
          <t>15657055</t>
        </is>
      </c>
      <c r="AW9" t="inlineStr">
        <is>
          <t>991001052099702656</t>
        </is>
      </c>
      <c r="AX9" t="inlineStr">
        <is>
          <t>991001052099702656</t>
        </is>
      </c>
      <c r="AY9" t="inlineStr">
        <is>
          <t>2264315280002656</t>
        </is>
      </c>
      <c r="AZ9" t="inlineStr">
        <is>
          <t>BOOK</t>
        </is>
      </c>
      <c r="BB9" t="inlineStr">
        <is>
          <t>9780226791340</t>
        </is>
      </c>
      <c r="BC9" t="inlineStr">
        <is>
          <t>32285001502623</t>
        </is>
      </c>
      <c r="BD9" t="inlineStr">
        <is>
          <t>893903264</t>
        </is>
      </c>
    </row>
    <row r="10">
      <c r="A10" t="inlineStr">
        <is>
          <t>No</t>
        </is>
      </c>
      <c r="B10" t="inlineStr">
        <is>
          <t>NA1053.M25 B72</t>
        </is>
      </c>
      <c r="C10" t="inlineStr">
        <is>
          <t>0                      NA 1053000M  25                 B  72</t>
        </is>
      </c>
      <c r="D10" t="inlineStr">
        <is>
          <t>François Mansart [by] Allan Braham and Peter Smith.</t>
        </is>
      </c>
      <c r="E10" t="inlineStr">
        <is>
          <t>V.2</t>
        </is>
      </c>
      <c r="F10" t="inlineStr">
        <is>
          <t>Yes</t>
        </is>
      </c>
      <c r="G10" t="inlineStr">
        <is>
          <t>1</t>
        </is>
      </c>
      <c r="H10" t="inlineStr">
        <is>
          <t>No</t>
        </is>
      </c>
      <c r="I10" t="inlineStr">
        <is>
          <t>No</t>
        </is>
      </c>
      <c r="J10" t="inlineStr">
        <is>
          <t>0</t>
        </is>
      </c>
      <c r="K10" t="inlineStr">
        <is>
          <t>Braham, Allan.</t>
        </is>
      </c>
      <c r="L10" t="inlineStr">
        <is>
          <t>[London] A. Zwemmer [1973]</t>
        </is>
      </c>
      <c r="M10" t="inlineStr">
        <is>
          <t>1973</t>
        </is>
      </c>
      <c r="O10" t="inlineStr">
        <is>
          <t>eng</t>
        </is>
      </c>
      <c r="P10" t="inlineStr">
        <is>
          <t>enk</t>
        </is>
      </c>
      <c r="Q10" t="inlineStr">
        <is>
          <t>Studies in architecture ; v. 13</t>
        </is>
      </c>
      <c r="R10" t="inlineStr">
        <is>
          <t xml:space="preserve">NA </t>
        </is>
      </c>
      <c r="S10" t="n">
        <v>0</v>
      </c>
      <c r="T10" t="n">
        <v>0</v>
      </c>
      <c r="U10" t="inlineStr">
        <is>
          <t>2007-09-26</t>
        </is>
      </c>
      <c r="V10" t="inlineStr">
        <is>
          <t>2007-09-26</t>
        </is>
      </c>
      <c r="W10" t="inlineStr">
        <is>
          <t>1997-07-01</t>
        </is>
      </c>
      <c r="X10" t="inlineStr">
        <is>
          <t>1997-07-01</t>
        </is>
      </c>
      <c r="Y10" t="n">
        <v>358</v>
      </c>
      <c r="Z10" t="n">
        <v>259</v>
      </c>
      <c r="AA10" t="n">
        <v>262</v>
      </c>
      <c r="AB10" t="n">
        <v>2</v>
      </c>
      <c r="AC10" t="n">
        <v>2</v>
      </c>
      <c r="AD10" t="n">
        <v>9</v>
      </c>
      <c r="AE10" t="n">
        <v>9</v>
      </c>
      <c r="AF10" t="n">
        <v>3</v>
      </c>
      <c r="AG10" t="n">
        <v>3</v>
      </c>
      <c r="AH10" t="n">
        <v>1</v>
      </c>
      <c r="AI10" t="n">
        <v>1</v>
      </c>
      <c r="AJ10" t="n">
        <v>5</v>
      </c>
      <c r="AK10" t="n">
        <v>5</v>
      </c>
      <c r="AL10" t="n">
        <v>1</v>
      </c>
      <c r="AM10" t="n">
        <v>1</v>
      </c>
      <c r="AN10" t="n">
        <v>0</v>
      </c>
      <c r="AO10" t="n">
        <v>0</v>
      </c>
      <c r="AP10" t="inlineStr">
        <is>
          <t>No</t>
        </is>
      </c>
      <c r="AQ10" t="inlineStr">
        <is>
          <t>Yes</t>
        </is>
      </c>
      <c r="AR10">
        <f>HYPERLINK("http://catalog.hathitrust.org/Record/000453836","HathiTrust Record")</f>
        <v/>
      </c>
      <c r="AS10">
        <f>HYPERLINK("https://creighton-primo.hosted.exlibrisgroup.com/primo-explore/search?tab=default_tab&amp;search_scope=EVERYTHING&amp;vid=01CRU&amp;lang=en_US&amp;offset=0&amp;query=any,contains,991003372839702656","Catalog Record")</f>
        <v/>
      </c>
      <c r="AT10">
        <f>HYPERLINK("http://www.worldcat.org/oclc/908920","WorldCat Record")</f>
        <v/>
      </c>
      <c r="AU10" t="inlineStr">
        <is>
          <t>3373238924:eng</t>
        </is>
      </c>
      <c r="AV10" t="inlineStr">
        <is>
          <t>908920</t>
        </is>
      </c>
      <c r="AW10" t="inlineStr">
        <is>
          <t>991003372839702656</t>
        </is>
      </c>
      <c r="AX10" t="inlineStr">
        <is>
          <t>991003372839702656</t>
        </is>
      </c>
      <c r="AY10" t="inlineStr">
        <is>
          <t>2261490660002656</t>
        </is>
      </c>
      <c r="AZ10" t="inlineStr">
        <is>
          <t>BOOK</t>
        </is>
      </c>
      <c r="BB10" t="inlineStr">
        <is>
          <t>9780302022511</t>
        </is>
      </c>
      <c r="BC10" t="inlineStr">
        <is>
          <t>32285002861796</t>
        </is>
      </c>
      <c r="BD10" t="inlineStr">
        <is>
          <t>893799657</t>
        </is>
      </c>
    </row>
    <row r="11">
      <c r="A11" t="inlineStr">
        <is>
          <t>No</t>
        </is>
      </c>
      <c r="B11" t="inlineStr">
        <is>
          <t>NA1053.M25 B72</t>
        </is>
      </c>
      <c r="C11" t="inlineStr">
        <is>
          <t>0                      NA 1053000M  25                 B  72</t>
        </is>
      </c>
      <c r="D11" t="inlineStr">
        <is>
          <t>François Mansart [by] Allan Braham and Peter Smith.</t>
        </is>
      </c>
      <c r="E11" t="inlineStr">
        <is>
          <t>V.1</t>
        </is>
      </c>
      <c r="F11" t="inlineStr">
        <is>
          <t>Yes</t>
        </is>
      </c>
      <c r="G11" t="inlineStr">
        <is>
          <t>1</t>
        </is>
      </c>
      <c r="H11" t="inlineStr">
        <is>
          <t>No</t>
        </is>
      </c>
      <c r="I11" t="inlineStr">
        <is>
          <t>No</t>
        </is>
      </c>
      <c r="J11" t="inlineStr">
        <is>
          <t>0</t>
        </is>
      </c>
      <c r="K11" t="inlineStr">
        <is>
          <t>Braham, Allan.</t>
        </is>
      </c>
      <c r="L11" t="inlineStr">
        <is>
          <t>[London] A. Zwemmer [1973]</t>
        </is>
      </c>
      <c r="M11" t="inlineStr">
        <is>
          <t>1973</t>
        </is>
      </c>
      <c r="O11" t="inlineStr">
        <is>
          <t>eng</t>
        </is>
      </c>
      <c r="P11" t="inlineStr">
        <is>
          <t>enk</t>
        </is>
      </c>
      <c r="Q11" t="inlineStr">
        <is>
          <t>Studies in architecture ; v. 13</t>
        </is>
      </c>
      <c r="R11" t="inlineStr">
        <is>
          <t xml:space="preserve">NA </t>
        </is>
      </c>
      <c r="S11" t="n">
        <v>0</v>
      </c>
      <c r="T11" t="n">
        <v>0</v>
      </c>
      <c r="U11" t="inlineStr">
        <is>
          <t>2007-09-26</t>
        </is>
      </c>
      <c r="V11" t="inlineStr">
        <is>
          <t>2007-09-26</t>
        </is>
      </c>
      <c r="W11" t="inlineStr">
        <is>
          <t>1997-07-01</t>
        </is>
      </c>
      <c r="X11" t="inlineStr">
        <is>
          <t>1997-07-01</t>
        </is>
      </c>
      <c r="Y11" t="n">
        <v>358</v>
      </c>
      <c r="Z11" t="n">
        <v>259</v>
      </c>
      <c r="AA11" t="n">
        <v>262</v>
      </c>
      <c r="AB11" t="n">
        <v>2</v>
      </c>
      <c r="AC11" t="n">
        <v>2</v>
      </c>
      <c r="AD11" t="n">
        <v>9</v>
      </c>
      <c r="AE11" t="n">
        <v>9</v>
      </c>
      <c r="AF11" t="n">
        <v>3</v>
      </c>
      <c r="AG11" t="n">
        <v>3</v>
      </c>
      <c r="AH11" t="n">
        <v>1</v>
      </c>
      <c r="AI11" t="n">
        <v>1</v>
      </c>
      <c r="AJ11" t="n">
        <v>5</v>
      </c>
      <c r="AK11" t="n">
        <v>5</v>
      </c>
      <c r="AL11" t="n">
        <v>1</v>
      </c>
      <c r="AM11" t="n">
        <v>1</v>
      </c>
      <c r="AN11" t="n">
        <v>0</v>
      </c>
      <c r="AO11" t="n">
        <v>0</v>
      </c>
      <c r="AP11" t="inlineStr">
        <is>
          <t>No</t>
        </is>
      </c>
      <c r="AQ11" t="inlineStr">
        <is>
          <t>Yes</t>
        </is>
      </c>
      <c r="AR11">
        <f>HYPERLINK("http://catalog.hathitrust.org/Record/000453836","HathiTrust Record")</f>
        <v/>
      </c>
      <c r="AS11">
        <f>HYPERLINK("https://creighton-primo.hosted.exlibrisgroup.com/primo-explore/search?tab=default_tab&amp;search_scope=EVERYTHING&amp;vid=01CRU&amp;lang=en_US&amp;offset=0&amp;query=any,contains,991003372839702656","Catalog Record")</f>
        <v/>
      </c>
      <c r="AT11">
        <f>HYPERLINK("http://www.worldcat.org/oclc/908920","WorldCat Record")</f>
        <v/>
      </c>
      <c r="AU11" t="inlineStr">
        <is>
          <t>3373238924:eng</t>
        </is>
      </c>
      <c r="AV11" t="inlineStr">
        <is>
          <t>908920</t>
        </is>
      </c>
      <c r="AW11" t="inlineStr">
        <is>
          <t>991003372839702656</t>
        </is>
      </c>
      <c r="AX11" t="inlineStr">
        <is>
          <t>991003372839702656</t>
        </is>
      </c>
      <c r="AY11" t="inlineStr">
        <is>
          <t>2261490660002656</t>
        </is>
      </c>
      <c r="AZ11" t="inlineStr">
        <is>
          <t>BOOK</t>
        </is>
      </c>
      <c r="BB11" t="inlineStr">
        <is>
          <t>9780302022511</t>
        </is>
      </c>
      <c r="BC11" t="inlineStr">
        <is>
          <t>32285002861788</t>
        </is>
      </c>
      <c r="BD11" t="inlineStr">
        <is>
          <t>893805733</t>
        </is>
      </c>
    </row>
    <row r="12">
      <c r="A12" t="inlineStr">
        <is>
          <t>No</t>
        </is>
      </c>
      <c r="B12" t="inlineStr">
        <is>
          <t>NA106 .A44 1985</t>
        </is>
      </c>
      <c r="C12" t="inlineStr">
        <is>
          <t>0                      NA 0106000A  44          1985</t>
        </is>
      </c>
      <c r="D12" t="inlineStr">
        <is>
          <t>All about old buildings : the whole preservation catalog / edited by Diane Maddex ; National Trust for Historic Preservation.</t>
        </is>
      </c>
      <c r="F12" t="inlineStr">
        <is>
          <t>No</t>
        </is>
      </c>
      <c r="G12" t="inlineStr">
        <is>
          <t>1</t>
        </is>
      </c>
      <c r="H12" t="inlineStr">
        <is>
          <t>No</t>
        </is>
      </c>
      <c r="I12" t="inlineStr">
        <is>
          <t>No</t>
        </is>
      </c>
      <c r="J12" t="inlineStr">
        <is>
          <t>0</t>
        </is>
      </c>
      <c r="L12" t="inlineStr">
        <is>
          <t>Washington, D.C. : Preservation Press, 1985.</t>
        </is>
      </c>
      <c r="M12" t="inlineStr">
        <is>
          <t>1985</t>
        </is>
      </c>
      <c r="O12" t="inlineStr">
        <is>
          <t>eng</t>
        </is>
      </c>
      <c r="P12" t="inlineStr">
        <is>
          <t>dcu</t>
        </is>
      </c>
      <c r="R12" t="inlineStr">
        <is>
          <t xml:space="preserve">NA </t>
        </is>
      </c>
      <c r="S12" t="n">
        <v>4</v>
      </c>
      <c r="T12" t="n">
        <v>4</v>
      </c>
      <c r="U12" t="inlineStr">
        <is>
          <t>2000-04-14</t>
        </is>
      </c>
      <c r="V12" t="inlineStr">
        <is>
          <t>2000-04-14</t>
        </is>
      </c>
      <c r="W12" t="inlineStr">
        <is>
          <t>1990-06-06</t>
        </is>
      </c>
      <c r="X12" t="inlineStr">
        <is>
          <t>1990-06-06</t>
        </is>
      </c>
      <c r="Y12" t="n">
        <v>893</v>
      </c>
      <c r="Z12" t="n">
        <v>823</v>
      </c>
      <c r="AA12" t="n">
        <v>830</v>
      </c>
      <c r="AB12" t="n">
        <v>6</v>
      </c>
      <c r="AC12" t="n">
        <v>6</v>
      </c>
      <c r="AD12" t="n">
        <v>10</v>
      </c>
      <c r="AE12" t="n">
        <v>10</v>
      </c>
      <c r="AF12" t="n">
        <v>4</v>
      </c>
      <c r="AG12" t="n">
        <v>4</v>
      </c>
      <c r="AH12" t="n">
        <v>2</v>
      </c>
      <c r="AI12" t="n">
        <v>2</v>
      </c>
      <c r="AJ12" t="n">
        <v>5</v>
      </c>
      <c r="AK12" t="n">
        <v>5</v>
      </c>
      <c r="AL12" t="n">
        <v>2</v>
      </c>
      <c r="AM12" t="n">
        <v>2</v>
      </c>
      <c r="AN12" t="n">
        <v>0</v>
      </c>
      <c r="AO12" t="n">
        <v>0</v>
      </c>
      <c r="AP12" t="inlineStr">
        <is>
          <t>No</t>
        </is>
      </c>
      <c r="AQ12" t="inlineStr">
        <is>
          <t>Yes</t>
        </is>
      </c>
      <c r="AR12">
        <f>HYPERLINK("http://catalog.hathitrust.org/Record/000418042","HathiTrust Record")</f>
        <v/>
      </c>
      <c r="AS12">
        <f>HYPERLINK("https://creighton-primo.hosted.exlibrisgroup.com/primo-explore/search?tab=default_tab&amp;search_scope=EVERYTHING&amp;vid=01CRU&amp;lang=en_US&amp;offset=0&amp;query=any,contains,991000578679702656","Catalog Record")</f>
        <v/>
      </c>
      <c r="AT12">
        <f>HYPERLINK("http://www.worldcat.org/oclc/11721531","WorldCat Record")</f>
        <v/>
      </c>
      <c r="AU12" t="inlineStr">
        <is>
          <t>901021098:eng</t>
        </is>
      </c>
      <c r="AV12" t="inlineStr">
        <is>
          <t>11721531</t>
        </is>
      </c>
      <c r="AW12" t="inlineStr">
        <is>
          <t>991000578679702656</t>
        </is>
      </c>
      <c r="AX12" t="inlineStr">
        <is>
          <t>991000578679702656</t>
        </is>
      </c>
      <c r="AY12" t="inlineStr">
        <is>
          <t>2259130440002656</t>
        </is>
      </c>
      <c r="AZ12" t="inlineStr">
        <is>
          <t>BOOK</t>
        </is>
      </c>
      <c r="BB12" t="inlineStr">
        <is>
          <t>9780891331087</t>
        </is>
      </c>
      <c r="BC12" t="inlineStr">
        <is>
          <t>32285000182914</t>
        </is>
      </c>
      <c r="BD12" t="inlineStr">
        <is>
          <t>893327408</t>
        </is>
      </c>
    </row>
    <row r="13">
      <c r="A13" t="inlineStr">
        <is>
          <t>No</t>
        </is>
      </c>
      <c r="B13" t="inlineStr">
        <is>
          <t>NA106 .B84 1983</t>
        </is>
      </c>
      <c r="C13" t="inlineStr">
        <is>
          <t>0                      NA 0106000B  84          1983</t>
        </is>
      </c>
      <c r="D13" t="inlineStr">
        <is>
          <t>The restoration manual : an illustrated guide to the preservation and restoration of old buildings / by Orin M. Bullock, Jr. ; with a foreword by Morris Ketchum, Jr.</t>
        </is>
      </c>
      <c r="F13" t="inlineStr">
        <is>
          <t>No</t>
        </is>
      </c>
      <c r="G13" t="inlineStr">
        <is>
          <t>1</t>
        </is>
      </c>
      <c r="H13" t="inlineStr">
        <is>
          <t>No</t>
        </is>
      </c>
      <c r="I13" t="inlineStr">
        <is>
          <t>No</t>
        </is>
      </c>
      <c r="J13" t="inlineStr">
        <is>
          <t>0</t>
        </is>
      </c>
      <c r="K13" t="inlineStr">
        <is>
          <t>Bullock, Orin M.</t>
        </is>
      </c>
      <c r="L13" t="inlineStr">
        <is>
          <t>New York : Van Nostrand Reinhold, 1983, c1966.</t>
        </is>
      </c>
      <c r="M13" t="inlineStr">
        <is>
          <t>1983</t>
        </is>
      </c>
      <c r="O13" t="inlineStr">
        <is>
          <t>eng</t>
        </is>
      </c>
      <c r="P13" t="inlineStr">
        <is>
          <t>nyu</t>
        </is>
      </c>
      <c r="R13" t="inlineStr">
        <is>
          <t xml:space="preserve">NA </t>
        </is>
      </c>
      <c r="S13" t="n">
        <v>1</v>
      </c>
      <c r="T13" t="n">
        <v>1</v>
      </c>
      <c r="U13" t="inlineStr">
        <is>
          <t>1996-01-15</t>
        </is>
      </c>
      <c r="V13" t="inlineStr">
        <is>
          <t>1996-01-15</t>
        </is>
      </c>
      <c r="W13" t="inlineStr">
        <is>
          <t>1990-06-06</t>
        </is>
      </c>
      <c r="X13" t="inlineStr">
        <is>
          <t>1990-06-06</t>
        </is>
      </c>
      <c r="Y13" t="n">
        <v>212</v>
      </c>
      <c r="Z13" t="n">
        <v>181</v>
      </c>
      <c r="AA13" t="n">
        <v>694</v>
      </c>
      <c r="AB13" t="n">
        <v>2</v>
      </c>
      <c r="AC13" t="n">
        <v>5</v>
      </c>
      <c r="AD13" t="n">
        <v>0</v>
      </c>
      <c r="AE13" t="n">
        <v>9</v>
      </c>
      <c r="AF13" t="n">
        <v>0</v>
      </c>
      <c r="AG13" t="n">
        <v>4</v>
      </c>
      <c r="AH13" t="n">
        <v>0</v>
      </c>
      <c r="AI13" t="n">
        <v>2</v>
      </c>
      <c r="AJ13" t="n">
        <v>0</v>
      </c>
      <c r="AK13" t="n">
        <v>2</v>
      </c>
      <c r="AL13" t="n">
        <v>0</v>
      </c>
      <c r="AM13" t="n">
        <v>2</v>
      </c>
      <c r="AN13" t="n">
        <v>0</v>
      </c>
      <c r="AO13" t="n">
        <v>0</v>
      </c>
      <c r="AP13" t="inlineStr">
        <is>
          <t>No</t>
        </is>
      </c>
      <c r="AQ13" t="inlineStr">
        <is>
          <t>Yes</t>
        </is>
      </c>
      <c r="AR13">
        <f>HYPERLINK("http://catalog.hathitrust.org/Record/007559580","HathiTrust Record")</f>
        <v/>
      </c>
      <c r="AS13">
        <f>HYPERLINK("https://creighton-primo.hosted.exlibrisgroup.com/primo-explore/search?tab=default_tab&amp;search_scope=EVERYTHING&amp;vid=01CRU&amp;lang=en_US&amp;offset=0&amp;query=any,contains,991000125469702656","Catalog Record")</f>
        <v/>
      </c>
      <c r="AT13">
        <f>HYPERLINK("http://www.worldcat.org/oclc/9082803","WorldCat Record")</f>
        <v/>
      </c>
      <c r="AU13" t="inlineStr">
        <is>
          <t>1423235:eng</t>
        </is>
      </c>
      <c r="AV13" t="inlineStr">
        <is>
          <t>9082803</t>
        </is>
      </c>
      <c r="AW13" t="inlineStr">
        <is>
          <t>991000125469702656</t>
        </is>
      </c>
      <c r="AX13" t="inlineStr">
        <is>
          <t>991000125469702656</t>
        </is>
      </c>
      <c r="AY13" t="inlineStr">
        <is>
          <t>2255062690002656</t>
        </is>
      </c>
      <c r="AZ13" t="inlineStr">
        <is>
          <t>BOOK</t>
        </is>
      </c>
      <c r="BB13" t="inlineStr">
        <is>
          <t>9780442214333</t>
        </is>
      </c>
      <c r="BC13" t="inlineStr">
        <is>
          <t>32285000182922</t>
        </is>
      </c>
      <c r="BD13" t="inlineStr">
        <is>
          <t>893871432</t>
        </is>
      </c>
    </row>
    <row r="14">
      <c r="A14" t="inlineStr">
        <is>
          <t>No</t>
        </is>
      </c>
      <c r="B14" t="inlineStr">
        <is>
          <t>NA1065 .H57 1981</t>
        </is>
      </c>
      <c r="C14" t="inlineStr">
        <is>
          <t>0                      NA 1065000H  57          1981</t>
        </is>
      </c>
      <c r="D14" t="inlineStr">
        <is>
          <t>German Renaissance architecture / Henry-Russell Hitchcock.</t>
        </is>
      </c>
      <c r="F14" t="inlineStr">
        <is>
          <t>No</t>
        </is>
      </c>
      <c r="G14" t="inlineStr">
        <is>
          <t>1</t>
        </is>
      </c>
      <c r="H14" t="inlineStr">
        <is>
          <t>No</t>
        </is>
      </c>
      <c r="I14" t="inlineStr">
        <is>
          <t>No</t>
        </is>
      </c>
      <c r="J14" t="inlineStr">
        <is>
          <t>0</t>
        </is>
      </c>
      <c r="K14" t="inlineStr">
        <is>
          <t>Hitchcock, Henry-Russell, 1903-1987.</t>
        </is>
      </c>
      <c r="L14" t="inlineStr">
        <is>
          <t>Princeton, N.J. : Princeton University Press, c1981.</t>
        </is>
      </c>
      <c r="M14" t="inlineStr">
        <is>
          <t>1981</t>
        </is>
      </c>
      <c r="O14" t="inlineStr">
        <is>
          <t>eng</t>
        </is>
      </c>
      <c r="P14" t="inlineStr">
        <is>
          <t>nju</t>
        </is>
      </c>
      <c r="R14" t="inlineStr">
        <is>
          <t xml:space="preserve">NA </t>
        </is>
      </c>
      <c r="S14" t="n">
        <v>2</v>
      </c>
      <c r="T14" t="n">
        <v>2</v>
      </c>
      <c r="U14" t="inlineStr">
        <is>
          <t>1998-06-08</t>
        </is>
      </c>
      <c r="V14" t="inlineStr">
        <is>
          <t>1998-06-08</t>
        </is>
      </c>
      <c r="W14" t="inlineStr">
        <is>
          <t>1993-05-13</t>
        </is>
      </c>
      <c r="X14" t="inlineStr">
        <is>
          <t>1993-05-13</t>
        </is>
      </c>
      <c r="Y14" t="n">
        <v>611</v>
      </c>
      <c r="Z14" t="n">
        <v>462</v>
      </c>
      <c r="AA14" t="n">
        <v>466</v>
      </c>
      <c r="AB14" t="n">
        <v>2</v>
      </c>
      <c r="AC14" t="n">
        <v>2</v>
      </c>
      <c r="AD14" t="n">
        <v>15</v>
      </c>
      <c r="AE14" t="n">
        <v>15</v>
      </c>
      <c r="AF14" t="n">
        <v>5</v>
      </c>
      <c r="AG14" t="n">
        <v>5</v>
      </c>
      <c r="AH14" t="n">
        <v>3</v>
      </c>
      <c r="AI14" t="n">
        <v>3</v>
      </c>
      <c r="AJ14" t="n">
        <v>11</v>
      </c>
      <c r="AK14" t="n">
        <v>11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HYPERLINK("https://creighton-primo.hosted.exlibrisgroup.com/primo-explore/search?tab=default_tab&amp;search_scope=EVERYTHING&amp;vid=01CRU&amp;lang=en_US&amp;offset=0&amp;query=any,contains,991004961099702656","Catalog Record")</f>
        <v/>
      </c>
      <c r="AT14">
        <f>HYPERLINK("http://www.worldcat.org/oclc/6305102","WorldCat Record")</f>
        <v/>
      </c>
      <c r="AU14" t="inlineStr">
        <is>
          <t>441151:eng</t>
        </is>
      </c>
      <c r="AV14" t="inlineStr">
        <is>
          <t>6305102</t>
        </is>
      </c>
      <c r="AW14" t="inlineStr">
        <is>
          <t>991004961099702656</t>
        </is>
      </c>
      <c r="AX14" t="inlineStr">
        <is>
          <t>991004961099702656</t>
        </is>
      </c>
      <c r="AY14" t="inlineStr">
        <is>
          <t>2259035410002656</t>
        </is>
      </c>
      <c r="AZ14" t="inlineStr">
        <is>
          <t>BOOK</t>
        </is>
      </c>
      <c r="BB14" t="inlineStr">
        <is>
          <t>9780691039596</t>
        </is>
      </c>
      <c r="BC14" t="inlineStr">
        <is>
          <t>32285001654754</t>
        </is>
      </c>
      <c r="BD14" t="inlineStr">
        <is>
          <t>893901937</t>
        </is>
      </c>
    </row>
    <row r="15">
      <c r="A15" t="inlineStr">
        <is>
          <t>No</t>
        </is>
      </c>
      <c r="B15" t="inlineStr">
        <is>
          <t>NA1068.5.N37 L36 1985</t>
        </is>
      </c>
      <c r="C15" t="inlineStr">
        <is>
          <t>0                      NA 1068500N  37                 L  36          1985</t>
        </is>
      </c>
      <c r="D15" t="inlineStr">
        <is>
          <t>Architecture and politics in Germany, 1918-1945 / by Barbara Miller Lane.</t>
        </is>
      </c>
      <c r="F15" t="inlineStr">
        <is>
          <t>No</t>
        </is>
      </c>
      <c r="G15" t="inlineStr">
        <is>
          <t>1</t>
        </is>
      </c>
      <c r="H15" t="inlineStr">
        <is>
          <t>No</t>
        </is>
      </c>
      <c r="I15" t="inlineStr">
        <is>
          <t>No</t>
        </is>
      </c>
      <c r="J15" t="inlineStr">
        <is>
          <t>0</t>
        </is>
      </c>
      <c r="K15" t="inlineStr">
        <is>
          <t>Lane, Barbara Miller.</t>
        </is>
      </c>
      <c r="L15" t="inlineStr">
        <is>
          <t>Cambridge, Mass. : Harvard University Press, 1985, c1968.</t>
        </is>
      </c>
      <c r="M15" t="inlineStr">
        <is>
          <t>1985</t>
        </is>
      </c>
      <c r="O15" t="inlineStr">
        <is>
          <t>eng</t>
        </is>
      </c>
      <c r="P15" t="inlineStr">
        <is>
          <t>mau</t>
        </is>
      </c>
      <c r="R15" t="inlineStr">
        <is>
          <t xml:space="preserve">NA </t>
        </is>
      </c>
      <c r="S15" t="n">
        <v>4</v>
      </c>
      <c r="T15" t="n">
        <v>4</v>
      </c>
      <c r="U15" t="inlineStr">
        <is>
          <t>2005-02-10</t>
        </is>
      </c>
      <c r="V15" t="inlineStr">
        <is>
          <t>2005-02-10</t>
        </is>
      </c>
      <c r="W15" t="inlineStr">
        <is>
          <t>2003-02-12</t>
        </is>
      </c>
      <c r="X15" t="inlineStr">
        <is>
          <t>2003-02-12</t>
        </is>
      </c>
      <c r="Y15" t="n">
        <v>227</v>
      </c>
      <c r="Z15" t="n">
        <v>156</v>
      </c>
      <c r="AA15" t="n">
        <v>824</v>
      </c>
      <c r="AB15" t="n">
        <v>1</v>
      </c>
      <c r="AC15" t="n">
        <v>5</v>
      </c>
      <c r="AD15" t="n">
        <v>11</v>
      </c>
      <c r="AE15" t="n">
        <v>37</v>
      </c>
      <c r="AF15" t="n">
        <v>5</v>
      </c>
      <c r="AG15" t="n">
        <v>15</v>
      </c>
      <c r="AH15" t="n">
        <v>4</v>
      </c>
      <c r="AI15" t="n">
        <v>10</v>
      </c>
      <c r="AJ15" t="n">
        <v>6</v>
      </c>
      <c r="AK15" t="n">
        <v>17</v>
      </c>
      <c r="AL15" t="n">
        <v>0</v>
      </c>
      <c r="AM15" t="n">
        <v>4</v>
      </c>
      <c r="AN15" t="n">
        <v>0</v>
      </c>
      <c r="AO15" t="n">
        <v>0</v>
      </c>
      <c r="AP15" t="inlineStr">
        <is>
          <t>No</t>
        </is>
      </c>
      <c r="AQ15" t="inlineStr">
        <is>
          <t>No</t>
        </is>
      </c>
      <c r="AS15">
        <f>HYPERLINK("https://creighton-primo.hosted.exlibrisgroup.com/primo-explore/search?tab=default_tab&amp;search_scope=EVERYTHING&amp;vid=01CRU&amp;lang=en_US&amp;offset=0&amp;query=any,contains,991003995219702656","Catalog Record")</f>
        <v/>
      </c>
      <c r="AT15">
        <f>HYPERLINK("http://www.worldcat.org/oclc/12051124","WorldCat Record")</f>
        <v/>
      </c>
      <c r="AU15" t="inlineStr">
        <is>
          <t>520750:eng</t>
        </is>
      </c>
      <c r="AV15" t="inlineStr">
        <is>
          <t>12051124</t>
        </is>
      </c>
      <c r="AW15" t="inlineStr">
        <is>
          <t>991003995219702656</t>
        </is>
      </c>
      <c r="AX15" t="inlineStr">
        <is>
          <t>991003995219702656</t>
        </is>
      </c>
      <c r="AY15" t="inlineStr">
        <is>
          <t>2268774890002656</t>
        </is>
      </c>
      <c r="AZ15" t="inlineStr">
        <is>
          <t>BOOK</t>
        </is>
      </c>
      <c r="BB15" t="inlineStr">
        <is>
          <t>9780674043503</t>
        </is>
      </c>
      <c r="BC15" t="inlineStr">
        <is>
          <t>32285004698444</t>
        </is>
      </c>
      <c r="BD15" t="inlineStr">
        <is>
          <t>893888198</t>
        </is>
      </c>
    </row>
    <row r="16">
      <c r="A16" t="inlineStr">
        <is>
          <t>No</t>
        </is>
      </c>
      <c r="B16" t="inlineStr">
        <is>
          <t>NA108.P5 H57 1981</t>
        </is>
      </c>
      <c r="C16" t="inlineStr">
        <is>
          <t>0                      NA 0108000P  5                  H  57          1981</t>
        </is>
      </c>
      <c r="D16" t="inlineStr">
        <is>
          <t>Philadelphia preserved : catalog of the Historic American Buildings Survey / Richard J. Webster ; with an introd. by Charles E. Peterson.</t>
        </is>
      </c>
      <c r="F16" t="inlineStr">
        <is>
          <t>No</t>
        </is>
      </c>
      <c r="G16" t="inlineStr">
        <is>
          <t>1</t>
        </is>
      </c>
      <c r="H16" t="inlineStr">
        <is>
          <t>No</t>
        </is>
      </c>
      <c r="I16" t="inlineStr">
        <is>
          <t>No</t>
        </is>
      </c>
      <c r="J16" t="inlineStr">
        <is>
          <t>0</t>
        </is>
      </c>
      <c r="K16" t="inlineStr">
        <is>
          <t>Historic American Buildings Survey.</t>
        </is>
      </c>
      <c r="L16" t="inlineStr">
        <is>
          <t>Philadelphia : Temple University Press : Philadelphia Historical Commission, 1981, c1976.</t>
        </is>
      </c>
      <c r="M16" t="inlineStr">
        <is>
          <t>1980</t>
        </is>
      </c>
      <c r="N16" t="inlineStr">
        <is>
          <t>2nd ed.</t>
        </is>
      </c>
      <c r="O16" t="inlineStr">
        <is>
          <t>eng</t>
        </is>
      </c>
      <c r="P16" t="inlineStr">
        <is>
          <t>pau</t>
        </is>
      </c>
      <c r="R16" t="inlineStr">
        <is>
          <t xml:space="preserve">NA </t>
        </is>
      </c>
      <c r="S16" t="n">
        <v>4</v>
      </c>
      <c r="T16" t="n">
        <v>4</v>
      </c>
      <c r="U16" t="inlineStr">
        <is>
          <t>1994-05-05</t>
        </is>
      </c>
      <c r="V16" t="inlineStr">
        <is>
          <t>1994-05-05</t>
        </is>
      </c>
      <c r="W16" t="inlineStr">
        <is>
          <t>1993-05-05</t>
        </is>
      </c>
      <c r="X16" t="inlineStr">
        <is>
          <t>1993-05-05</t>
        </is>
      </c>
      <c r="Y16" t="n">
        <v>143</v>
      </c>
      <c r="Z16" t="n">
        <v>142</v>
      </c>
      <c r="AA16" t="n">
        <v>143</v>
      </c>
      <c r="AB16" t="n">
        <v>2</v>
      </c>
      <c r="AC16" t="n">
        <v>2</v>
      </c>
      <c r="AD16" t="n">
        <v>4</v>
      </c>
      <c r="AE16" t="n">
        <v>4</v>
      </c>
      <c r="AF16" t="n">
        <v>0</v>
      </c>
      <c r="AG16" t="n">
        <v>0</v>
      </c>
      <c r="AH16" t="n">
        <v>1</v>
      </c>
      <c r="AI16" t="n">
        <v>1</v>
      </c>
      <c r="AJ16" t="n">
        <v>3</v>
      </c>
      <c r="AK16" t="n">
        <v>3</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HYPERLINK("https://creighton-primo.hosted.exlibrisgroup.com/primo-explore/search?tab=default_tab&amp;search_scope=EVERYTHING&amp;vid=01CRU&amp;lang=en_US&amp;offset=0&amp;query=any,contains,991005063929702656","Catalog Record")</f>
        <v/>
      </c>
      <c r="AT16">
        <f>HYPERLINK("http://www.worldcat.org/oclc/6942589","WorldCat Record")</f>
        <v/>
      </c>
      <c r="AU16" t="inlineStr">
        <is>
          <t>5188319149:eng</t>
        </is>
      </c>
      <c r="AV16" t="inlineStr">
        <is>
          <t>6942589</t>
        </is>
      </c>
      <c r="AW16" t="inlineStr">
        <is>
          <t>991005063929702656</t>
        </is>
      </c>
      <c r="AX16" t="inlineStr">
        <is>
          <t>991005063929702656</t>
        </is>
      </c>
      <c r="AY16" t="inlineStr">
        <is>
          <t>2257280320002656</t>
        </is>
      </c>
      <c r="AZ16" t="inlineStr">
        <is>
          <t>BOOK</t>
        </is>
      </c>
      <c r="BB16" t="inlineStr">
        <is>
          <t>9780877220893</t>
        </is>
      </c>
      <c r="BC16" t="inlineStr">
        <is>
          <t>32285001651016</t>
        </is>
      </c>
      <c r="BD16" t="inlineStr">
        <is>
          <t>893688536</t>
        </is>
      </c>
    </row>
    <row r="17">
      <c r="A17" t="inlineStr">
        <is>
          <t>No</t>
        </is>
      </c>
      <c r="B17" t="inlineStr">
        <is>
          <t>NA1085 .W58 1998</t>
        </is>
      </c>
      <c r="C17" t="inlineStr">
        <is>
          <t>0                      NA 1085000W  58          1998</t>
        </is>
      </c>
      <c r="D17" t="inlineStr">
        <is>
          <t>Capital dilemma : Germany's search for a new architecture of democracy / Michael Z. Wise.</t>
        </is>
      </c>
      <c r="F17" t="inlineStr">
        <is>
          <t>No</t>
        </is>
      </c>
      <c r="G17" t="inlineStr">
        <is>
          <t>1</t>
        </is>
      </c>
      <c r="H17" t="inlineStr">
        <is>
          <t>No</t>
        </is>
      </c>
      <c r="I17" t="inlineStr">
        <is>
          <t>No</t>
        </is>
      </c>
      <c r="J17" t="inlineStr">
        <is>
          <t>0</t>
        </is>
      </c>
      <c r="K17" t="inlineStr">
        <is>
          <t>Wise, Michael Z., 1957-</t>
        </is>
      </c>
      <c r="L17" t="inlineStr">
        <is>
          <t>New York : Princeton Architectural Press, c1998.</t>
        </is>
      </c>
      <c r="M17" t="inlineStr">
        <is>
          <t>1998</t>
        </is>
      </c>
      <c r="N17" t="inlineStr">
        <is>
          <t>1st ed.</t>
        </is>
      </c>
      <c r="O17" t="inlineStr">
        <is>
          <t>eng</t>
        </is>
      </c>
      <c r="P17" t="inlineStr">
        <is>
          <t>nyu</t>
        </is>
      </c>
      <c r="R17" t="inlineStr">
        <is>
          <t xml:space="preserve">NA </t>
        </is>
      </c>
      <c r="S17" t="n">
        <v>2</v>
      </c>
      <c r="T17" t="n">
        <v>2</v>
      </c>
      <c r="U17" t="inlineStr">
        <is>
          <t>2003-03-18</t>
        </is>
      </c>
      <c r="V17" t="inlineStr">
        <is>
          <t>2003-03-18</t>
        </is>
      </c>
      <c r="W17" t="inlineStr">
        <is>
          <t>2003-03-18</t>
        </is>
      </c>
      <c r="X17" t="inlineStr">
        <is>
          <t>2003-03-18</t>
        </is>
      </c>
      <c r="Y17" t="n">
        <v>467</v>
      </c>
      <c r="Z17" t="n">
        <v>330</v>
      </c>
      <c r="AA17" t="n">
        <v>669</v>
      </c>
      <c r="AB17" t="n">
        <v>3</v>
      </c>
      <c r="AC17" t="n">
        <v>6</v>
      </c>
      <c r="AD17" t="n">
        <v>12</v>
      </c>
      <c r="AE17" t="n">
        <v>28</v>
      </c>
      <c r="AF17" t="n">
        <v>1</v>
      </c>
      <c r="AG17" t="n">
        <v>7</v>
      </c>
      <c r="AH17" t="n">
        <v>4</v>
      </c>
      <c r="AI17" t="n">
        <v>7</v>
      </c>
      <c r="AJ17" t="n">
        <v>6</v>
      </c>
      <c r="AK17" t="n">
        <v>11</v>
      </c>
      <c r="AL17" t="n">
        <v>2</v>
      </c>
      <c r="AM17" t="n">
        <v>5</v>
      </c>
      <c r="AN17" t="n">
        <v>0</v>
      </c>
      <c r="AO17" t="n">
        <v>1</v>
      </c>
      <c r="AP17" t="inlineStr">
        <is>
          <t>No</t>
        </is>
      </c>
      <c r="AQ17" t="inlineStr">
        <is>
          <t>Yes</t>
        </is>
      </c>
      <c r="AR17">
        <f>HYPERLINK("http://catalog.hathitrust.org/Record/003978160","HathiTrust Record")</f>
        <v/>
      </c>
      <c r="AS17">
        <f>HYPERLINK("https://creighton-primo.hosted.exlibrisgroup.com/primo-explore/search?tab=default_tab&amp;search_scope=EVERYTHING&amp;vid=01CRU&amp;lang=en_US&amp;offset=0&amp;query=any,contains,991004012389702656","Catalog Record")</f>
        <v/>
      </c>
      <c r="AT17">
        <f>HYPERLINK("http://www.worldcat.org/oclc/37890519","WorldCat Record")</f>
        <v/>
      </c>
      <c r="AU17" t="inlineStr">
        <is>
          <t>793888171:eng</t>
        </is>
      </c>
      <c r="AV17" t="inlineStr">
        <is>
          <t>37890519</t>
        </is>
      </c>
      <c r="AW17" t="inlineStr">
        <is>
          <t>991004012389702656</t>
        </is>
      </c>
      <c r="AX17" t="inlineStr">
        <is>
          <t>991004012389702656</t>
        </is>
      </c>
      <c r="AY17" t="inlineStr">
        <is>
          <t>2262506830002656</t>
        </is>
      </c>
      <c r="AZ17" t="inlineStr">
        <is>
          <t>BOOK</t>
        </is>
      </c>
      <c r="BB17" t="inlineStr">
        <is>
          <t>9781568981345</t>
        </is>
      </c>
      <c r="BC17" t="inlineStr">
        <is>
          <t>32285004684717</t>
        </is>
      </c>
      <c r="BD17" t="inlineStr">
        <is>
          <t>893343354</t>
        </is>
      </c>
    </row>
    <row r="18">
      <c r="A18" t="inlineStr">
        <is>
          <t>No</t>
        </is>
      </c>
      <c r="B18" t="inlineStr">
        <is>
          <t>NA1088.G85 F5</t>
        </is>
      </c>
      <c r="C18" t="inlineStr">
        <is>
          <t>0                      NA 1088000G  85                 F  5</t>
        </is>
      </c>
      <c r="D18" t="inlineStr">
        <is>
          <t>Walter Gropius.</t>
        </is>
      </c>
      <c r="F18" t="inlineStr">
        <is>
          <t>No</t>
        </is>
      </c>
      <c r="G18" t="inlineStr">
        <is>
          <t>1</t>
        </is>
      </c>
      <c r="H18" t="inlineStr">
        <is>
          <t>No</t>
        </is>
      </c>
      <c r="I18" t="inlineStr">
        <is>
          <t>No</t>
        </is>
      </c>
      <c r="J18" t="inlineStr">
        <is>
          <t>0</t>
        </is>
      </c>
      <c r="K18" t="inlineStr">
        <is>
          <t>Fitch, James Marston.</t>
        </is>
      </c>
      <c r="L18" t="inlineStr">
        <is>
          <t>New York, G. Braziller, 1960.</t>
        </is>
      </c>
      <c r="M18" t="inlineStr">
        <is>
          <t>1960</t>
        </is>
      </c>
      <c r="O18" t="inlineStr">
        <is>
          <t>eng</t>
        </is>
      </c>
      <c r="P18" t="inlineStr">
        <is>
          <t>nyu</t>
        </is>
      </c>
      <c r="Q18" t="inlineStr">
        <is>
          <t>The Masters of world architecture series</t>
        </is>
      </c>
      <c r="R18" t="inlineStr">
        <is>
          <t xml:space="preserve">NA </t>
        </is>
      </c>
      <c r="S18" t="n">
        <v>1</v>
      </c>
      <c r="T18" t="n">
        <v>1</v>
      </c>
      <c r="U18" t="inlineStr">
        <is>
          <t>2001-04-23</t>
        </is>
      </c>
      <c r="V18" t="inlineStr">
        <is>
          <t>2001-04-23</t>
        </is>
      </c>
      <c r="W18" t="inlineStr">
        <is>
          <t>1997-07-01</t>
        </is>
      </c>
      <c r="X18" t="inlineStr">
        <is>
          <t>1997-07-01</t>
        </is>
      </c>
      <c r="Y18" t="n">
        <v>1191</v>
      </c>
      <c r="Z18" t="n">
        <v>1053</v>
      </c>
      <c r="AA18" t="n">
        <v>1064</v>
      </c>
      <c r="AB18" t="n">
        <v>8</v>
      </c>
      <c r="AC18" t="n">
        <v>8</v>
      </c>
      <c r="AD18" t="n">
        <v>40</v>
      </c>
      <c r="AE18" t="n">
        <v>40</v>
      </c>
      <c r="AF18" t="n">
        <v>16</v>
      </c>
      <c r="AG18" t="n">
        <v>16</v>
      </c>
      <c r="AH18" t="n">
        <v>7</v>
      </c>
      <c r="AI18" t="n">
        <v>7</v>
      </c>
      <c r="AJ18" t="n">
        <v>19</v>
      </c>
      <c r="AK18" t="n">
        <v>19</v>
      </c>
      <c r="AL18" t="n">
        <v>6</v>
      </c>
      <c r="AM18" t="n">
        <v>6</v>
      </c>
      <c r="AN18" t="n">
        <v>0</v>
      </c>
      <c r="AO18" t="n">
        <v>0</v>
      </c>
      <c r="AP18" t="inlineStr">
        <is>
          <t>No</t>
        </is>
      </c>
      <c r="AQ18" t="inlineStr">
        <is>
          <t>No</t>
        </is>
      </c>
      <c r="AR18">
        <f>HYPERLINK("http://catalog.hathitrust.org/Record/000455755","HathiTrust Record")</f>
        <v/>
      </c>
      <c r="AS18">
        <f>HYPERLINK("https://creighton-primo.hosted.exlibrisgroup.com/primo-explore/search?tab=default_tab&amp;search_scope=EVERYTHING&amp;vid=01CRU&amp;lang=en_US&amp;offset=0&amp;query=any,contains,991002904409702656","Catalog Record")</f>
        <v/>
      </c>
      <c r="AT18">
        <f>HYPERLINK("http://www.worldcat.org/oclc/518788","WorldCat Record")</f>
        <v/>
      </c>
      <c r="AU18" t="inlineStr">
        <is>
          <t>1471427:eng</t>
        </is>
      </c>
      <c r="AV18" t="inlineStr">
        <is>
          <t>518788</t>
        </is>
      </c>
      <c r="AW18" t="inlineStr">
        <is>
          <t>991002904409702656</t>
        </is>
      </c>
      <c r="AX18" t="inlineStr">
        <is>
          <t>991002904409702656</t>
        </is>
      </c>
      <c r="AY18" t="inlineStr">
        <is>
          <t>2255959630002656</t>
        </is>
      </c>
      <c r="AZ18" t="inlineStr">
        <is>
          <t>BOOK</t>
        </is>
      </c>
      <c r="BC18" t="inlineStr">
        <is>
          <t>32285002861812</t>
        </is>
      </c>
      <c r="BD18" t="inlineStr">
        <is>
          <t>893530615</t>
        </is>
      </c>
    </row>
    <row r="19">
      <c r="A19" t="inlineStr">
        <is>
          <t>No</t>
        </is>
      </c>
      <c r="B19" t="inlineStr">
        <is>
          <t>NA1088.M65 S38 1985</t>
        </is>
      </c>
      <c r="C19" t="inlineStr">
        <is>
          <t>0                      NA 1088000M  65                 S  38          1985</t>
        </is>
      </c>
      <c r="D19" t="inlineStr">
        <is>
          <t>Mies van der Rohe : a critical biography / Franz Schulze in association with the Mies van der Rohe Archive of the Museum of Modern Art.</t>
        </is>
      </c>
      <c r="F19" t="inlineStr">
        <is>
          <t>No</t>
        </is>
      </c>
      <c r="G19" t="inlineStr">
        <is>
          <t>1</t>
        </is>
      </c>
      <c r="H19" t="inlineStr">
        <is>
          <t>No</t>
        </is>
      </c>
      <c r="I19" t="inlineStr">
        <is>
          <t>No</t>
        </is>
      </c>
      <c r="J19" t="inlineStr">
        <is>
          <t>0</t>
        </is>
      </c>
      <c r="K19" t="inlineStr">
        <is>
          <t>Schulze, Franz, 1927-2019.</t>
        </is>
      </c>
      <c r="L19" t="inlineStr">
        <is>
          <t>Chicago : University of Chicago Press, 1985.</t>
        </is>
      </c>
      <c r="M19" t="inlineStr">
        <is>
          <t>1985</t>
        </is>
      </c>
      <c r="O19" t="inlineStr">
        <is>
          <t>eng</t>
        </is>
      </c>
      <c r="P19" t="inlineStr">
        <is>
          <t>ilu</t>
        </is>
      </c>
      <c r="R19" t="inlineStr">
        <is>
          <t xml:space="preserve">NA </t>
        </is>
      </c>
      <c r="S19" t="n">
        <v>4</v>
      </c>
      <c r="T19" t="n">
        <v>4</v>
      </c>
      <c r="U19" t="inlineStr">
        <is>
          <t>1992-04-22</t>
        </is>
      </c>
      <c r="V19" t="inlineStr">
        <is>
          <t>1992-04-22</t>
        </is>
      </c>
      <c r="W19" t="inlineStr">
        <is>
          <t>1990-03-08</t>
        </is>
      </c>
      <c r="X19" t="inlineStr">
        <is>
          <t>1990-03-08</t>
        </is>
      </c>
      <c r="Y19" t="n">
        <v>988</v>
      </c>
      <c r="Z19" t="n">
        <v>827</v>
      </c>
      <c r="AA19" t="n">
        <v>1121</v>
      </c>
      <c r="AB19" t="n">
        <v>6</v>
      </c>
      <c r="AC19" t="n">
        <v>8</v>
      </c>
      <c r="AD19" t="n">
        <v>29</v>
      </c>
      <c r="AE19" t="n">
        <v>39</v>
      </c>
      <c r="AF19" t="n">
        <v>12</v>
      </c>
      <c r="AG19" t="n">
        <v>18</v>
      </c>
      <c r="AH19" t="n">
        <v>7</v>
      </c>
      <c r="AI19" t="n">
        <v>8</v>
      </c>
      <c r="AJ19" t="n">
        <v>16</v>
      </c>
      <c r="AK19" t="n">
        <v>19</v>
      </c>
      <c r="AL19" t="n">
        <v>2</v>
      </c>
      <c r="AM19" t="n">
        <v>4</v>
      </c>
      <c r="AN19" t="n">
        <v>0</v>
      </c>
      <c r="AO19" t="n">
        <v>0</v>
      </c>
      <c r="AP19" t="inlineStr">
        <is>
          <t>No</t>
        </is>
      </c>
      <c r="AQ19" t="inlineStr">
        <is>
          <t>No</t>
        </is>
      </c>
      <c r="AS19">
        <f>HYPERLINK("https://creighton-primo.hosted.exlibrisgroup.com/primo-explore/search?tab=default_tab&amp;search_scope=EVERYTHING&amp;vid=01CRU&amp;lang=en_US&amp;offset=0&amp;query=any,contains,991000636639702656","Catalog Record")</f>
        <v/>
      </c>
      <c r="AT19">
        <f>HYPERLINK("http://www.worldcat.org/oclc/12081678","WorldCat Record")</f>
        <v/>
      </c>
      <c r="AU19" t="inlineStr">
        <is>
          <t>2255598552:eng</t>
        </is>
      </c>
      <c r="AV19" t="inlineStr">
        <is>
          <t>12081678</t>
        </is>
      </c>
      <c r="AW19" t="inlineStr">
        <is>
          <t>991000636639702656</t>
        </is>
      </c>
      <c r="AX19" t="inlineStr">
        <is>
          <t>991000636639702656</t>
        </is>
      </c>
      <c r="AY19" t="inlineStr">
        <is>
          <t>2264281840002656</t>
        </is>
      </c>
      <c r="AZ19" t="inlineStr">
        <is>
          <t>BOOK</t>
        </is>
      </c>
      <c r="BB19" t="inlineStr">
        <is>
          <t>9780226740591</t>
        </is>
      </c>
      <c r="BC19" t="inlineStr">
        <is>
          <t>32285000043264</t>
        </is>
      </c>
      <c r="BD19" t="inlineStr">
        <is>
          <t>893890880</t>
        </is>
      </c>
    </row>
    <row r="20">
      <c r="A20" t="inlineStr">
        <is>
          <t>No</t>
        </is>
      </c>
      <c r="B20" t="inlineStr">
        <is>
          <t>NA1115 .B813 1987</t>
        </is>
      </c>
      <c r="C20" t="inlineStr">
        <is>
          <t>0                      NA 1115000B  813         1987</t>
        </is>
      </c>
      <c r="D20" t="inlineStr">
        <is>
          <t>The architecture of the Italian Renaissance / Jacob Burckhardt ; translated by James Palmes ; revised and edited by Peter Murray.</t>
        </is>
      </c>
      <c r="F20" t="inlineStr">
        <is>
          <t>No</t>
        </is>
      </c>
      <c r="G20" t="inlineStr">
        <is>
          <t>1</t>
        </is>
      </c>
      <c r="H20" t="inlineStr">
        <is>
          <t>No</t>
        </is>
      </c>
      <c r="I20" t="inlineStr">
        <is>
          <t>No</t>
        </is>
      </c>
      <c r="J20" t="inlineStr">
        <is>
          <t>0</t>
        </is>
      </c>
      <c r="K20" t="inlineStr">
        <is>
          <t>Burckhardt, Jacob, 1818-1897.</t>
        </is>
      </c>
      <c r="L20" t="inlineStr">
        <is>
          <t>Chicago : University of Chicago Press, 1987, c1985.</t>
        </is>
      </c>
      <c r="M20" t="inlineStr">
        <is>
          <t>1987</t>
        </is>
      </c>
      <c r="N20" t="inlineStr">
        <is>
          <t>Pbk. ed.</t>
        </is>
      </c>
      <c r="O20" t="inlineStr">
        <is>
          <t>eng</t>
        </is>
      </c>
      <c r="P20" t="inlineStr">
        <is>
          <t>ilu</t>
        </is>
      </c>
      <c r="R20" t="inlineStr">
        <is>
          <t xml:space="preserve">NA </t>
        </is>
      </c>
      <c r="S20" t="n">
        <v>2</v>
      </c>
      <c r="T20" t="n">
        <v>2</v>
      </c>
      <c r="U20" t="inlineStr">
        <is>
          <t>2010-05-26</t>
        </is>
      </c>
      <c r="V20" t="inlineStr">
        <is>
          <t>2010-05-26</t>
        </is>
      </c>
      <c r="W20" t="inlineStr">
        <is>
          <t>2010-05-26</t>
        </is>
      </c>
      <c r="X20" t="inlineStr">
        <is>
          <t>2010-05-26</t>
        </is>
      </c>
      <c r="Y20" t="n">
        <v>91</v>
      </c>
      <c r="Z20" t="n">
        <v>84</v>
      </c>
      <c r="AA20" t="n">
        <v>683</v>
      </c>
      <c r="AB20" t="n">
        <v>2</v>
      </c>
      <c r="AC20" t="n">
        <v>4</v>
      </c>
      <c r="AD20" t="n">
        <v>4</v>
      </c>
      <c r="AE20" t="n">
        <v>26</v>
      </c>
      <c r="AF20" t="n">
        <v>2</v>
      </c>
      <c r="AG20" t="n">
        <v>12</v>
      </c>
      <c r="AH20" t="n">
        <v>0</v>
      </c>
      <c r="AI20" t="n">
        <v>4</v>
      </c>
      <c r="AJ20" t="n">
        <v>2</v>
      </c>
      <c r="AK20" t="n">
        <v>14</v>
      </c>
      <c r="AL20" t="n">
        <v>1</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HYPERLINK("https://creighton-primo.hosted.exlibrisgroup.com/primo-explore/search?tab=default_tab&amp;search_scope=EVERYTHING&amp;vid=01CRU&amp;lang=en_US&amp;offset=0&amp;query=any,contains,991005401359702656","Catalog Record")</f>
        <v/>
      </c>
      <c r="AT20">
        <f>HYPERLINK("http://www.worldcat.org/oclc/18902411","WorldCat Record")</f>
        <v/>
      </c>
      <c r="AU20" t="inlineStr">
        <is>
          <t>5611907978:eng</t>
        </is>
      </c>
      <c r="AV20" t="inlineStr">
        <is>
          <t>18902411</t>
        </is>
      </c>
      <c r="AW20" t="inlineStr">
        <is>
          <t>991005401359702656</t>
        </is>
      </c>
      <c r="AX20" t="inlineStr">
        <is>
          <t>991005401359702656</t>
        </is>
      </c>
      <c r="AY20" t="inlineStr">
        <is>
          <t>2263648060002656</t>
        </is>
      </c>
      <c r="AZ20" t="inlineStr">
        <is>
          <t>BOOK</t>
        </is>
      </c>
      <c r="BB20" t="inlineStr">
        <is>
          <t>9780226080499</t>
        </is>
      </c>
      <c r="BC20" t="inlineStr">
        <is>
          <t>32285005586440</t>
        </is>
      </c>
      <c r="BD20" t="inlineStr">
        <is>
          <t>893777429</t>
        </is>
      </c>
    </row>
    <row r="21">
      <c r="A21" t="inlineStr">
        <is>
          <t>No</t>
        </is>
      </c>
      <c r="B21" t="inlineStr">
        <is>
          <t>NA1115 .H49 1996</t>
        </is>
      </c>
      <c r="C21" t="inlineStr">
        <is>
          <t>0                      NA 1115000H  49          1996</t>
        </is>
      </c>
      <c r="D21" t="inlineStr">
        <is>
          <t>Architecture in Italy, 1400-1500 / Ludwig H. Heydenreich ; revised by Paul Davies ; [translated by Mary Hottinger].</t>
        </is>
      </c>
      <c r="F21" t="inlineStr">
        <is>
          <t>No</t>
        </is>
      </c>
      <c r="G21" t="inlineStr">
        <is>
          <t>1</t>
        </is>
      </c>
      <c r="H21" t="inlineStr">
        <is>
          <t>No</t>
        </is>
      </c>
      <c r="I21" t="inlineStr">
        <is>
          <t>No</t>
        </is>
      </c>
      <c r="J21" t="inlineStr">
        <is>
          <t>0</t>
        </is>
      </c>
      <c r="K21" t="inlineStr">
        <is>
          <t>Heydenreich, Ludwig H. (Ludwig Heinrich), 1903-1978.</t>
        </is>
      </c>
      <c r="L21" t="inlineStr">
        <is>
          <t>New Haven : Yale University Press, 1996.</t>
        </is>
      </c>
      <c r="M21" t="inlineStr">
        <is>
          <t>1996</t>
        </is>
      </c>
      <c r="O21" t="inlineStr">
        <is>
          <t>eng</t>
        </is>
      </c>
      <c r="P21" t="inlineStr">
        <is>
          <t>ctu</t>
        </is>
      </c>
      <c r="Q21" t="inlineStr">
        <is>
          <t>Yale University Press Pelican history of art</t>
        </is>
      </c>
      <c r="R21" t="inlineStr">
        <is>
          <t xml:space="preserve">NA </t>
        </is>
      </c>
      <c r="S21" t="n">
        <v>1</v>
      </c>
      <c r="T21" t="n">
        <v>1</v>
      </c>
      <c r="U21" t="inlineStr">
        <is>
          <t>2008-11-18</t>
        </is>
      </c>
      <c r="V21" t="inlineStr">
        <is>
          <t>2008-11-18</t>
        </is>
      </c>
      <c r="W21" t="inlineStr">
        <is>
          <t>2008-11-18</t>
        </is>
      </c>
      <c r="X21" t="inlineStr">
        <is>
          <t>2008-11-18</t>
        </is>
      </c>
      <c r="Y21" t="n">
        <v>723</v>
      </c>
      <c r="Z21" t="n">
        <v>560</v>
      </c>
      <c r="AA21" t="n">
        <v>849</v>
      </c>
      <c r="AB21" t="n">
        <v>5</v>
      </c>
      <c r="AC21" t="n">
        <v>5</v>
      </c>
      <c r="AD21" t="n">
        <v>30</v>
      </c>
      <c r="AE21" t="n">
        <v>38</v>
      </c>
      <c r="AF21" t="n">
        <v>11</v>
      </c>
      <c r="AG21" t="n">
        <v>16</v>
      </c>
      <c r="AH21" t="n">
        <v>7</v>
      </c>
      <c r="AI21" t="n">
        <v>10</v>
      </c>
      <c r="AJ21" t="n">
        <v>16</v>
      </c>
      <c r="AK21" t="n">
        <v>19</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HYPERLINK("https://creighton-primo.hosted.exlibrisgroup.com/primo-explore/search?tab=default_tab&amp;search_scope=EVERYTHING&amp;vid=01CRU&amp;lang=en_US&amp;offset=0&amp;query=any,contains,991005275549702656","Catalog Record")</f>
        <v/>
      </c>
      <c r="AT21">
        <f>HYPERLINK("http://www.worldcat.org/oclc/32923287","WorldCat Record")</f>
        <v/>
      </c>
      <c r="AU21" t="inlineStr">
        <is>
          <t>9937383444:eng</t>
        </is>
      </c>
      <c r="AV21" t="inlineStr">
        <is>
          <t>32923287</t>
        </is>
      </c>
      <c r="AW21" t="inlineStr">
        <is>
          <t>991005275549702656</t>
        </is>
      </c>
      <c r="AX21" t="inlineStr">
        <is>
          <t>991005275549702656</t>
        </is>
      </c>
      <c r="AY21" t="inlineStr">
        <is>
          <t>2262005060002656</t>
        </is>
      </c>
      <c r="AZ21" t="inlineStr">
        <is>
          <t>BOOK</t>
        </is>
      </c>
      <c r="BB21" t="inlineStr">
        <is>
          <t>9780300064667</t>
        </is>
      </c>
      <c r="BC21" t="inlineStr">
        <is>
          <t>32285005466882</t>
        </is>
      </c>
      <c r="BD21" t="inlineStr">
        <is>
          <t>893619726</t>
        </is>
      </c>
    </row>
    <row r="22">
      <c r="A22" t="inlineStr">
        <is>
          <t>No</t>
        </is>
      </c>
      <c r="B22" t="inlineStr">
        <is>
          <t>NA1115 .M8</t>
        </is>
      </c>
      <c r="C22" t="inlineStr">
        <is>
          <t>0                      NA 1115000M  8</t>
        </is>
      </c>
      <c r="D22" t="inlineStr">
        <is>
          <t>The architecture of the Italian Renaissance / Peter Murray.</t>
        </is>
      </c>
      <c r="F22" t="inlineStr">
        <is>
          <t>No</t>
        </is>
      </c>
      <c r="G22" t="inlineStr">
        <is>
          <t>1</t>
        </is>
      </c>
      <c r="H22" t="inlineStr">
        <is>
          <t>No</t>
        </is>
      </c>
      <c r="I22" t="inlineStr">
        <is>
          <t>No</t>
        </is>
      </c>
      <c r="J22" t="inlineStr">
        <is>
          <t>0</t>
        </is>
      </c>
      <c r="K22" t="inlineStr">
        <is>
          <t>Murray, Peter.</t>
        </is>
      </c>
      <c r="L22" t="inlineStr">
        <is>
          <t>London : B. T. Batsford, [1963]</t>
        </is>
      </c>
      <c r="M22" t="inlineStr">
        <is>
          <t>1963</t>
        </is>
      </c>
      <c r="O22" t="inlineStr">
        <is>
          <t>eng</t>
        </is>
      </c>
      <c r="P22" t="inlineStr">
        <is>
          <t>enk</t>
        </is>
      </c>
      <c r="R22" t="inlineStr">
        <is>
          <t xml:space="preserve">NA </t>
        </is>
      </c>
      <c r="S22" t="n">
        <v>3</v>
      </c>
      <c r="T22" t="n">
        <v>3</v>
      </c>
      <c r="U22" t="inlineStr">
        <is>
          <t>1996-02-28</t>
        </is>
      </c>
      <c r="V22" t="inlineStr">
        <is>
          <t>1996-02-28</t>
        </is>
      </c>
      <c r="W22" t="inlineStr">
        <is>
          <t>1992-04-06</t>
        </is>
      </c>
      <c r="X22" t="inlineStr">
        <is>
          <t>1992-04-06</t>
        </is>
      </c>
      <c r="Y22" t="n">
        <v>317</v>
      </c>
      <c r="Z22" t="n">
        <v>218</v>
      </c>
      <c r="AA22" t="n">
        <v>1222</v>
      </c>
      <c r="AB22" t="n">
        <v>2</v>
      </c>
      <c r="AC22" t="n">
        <v>11</v>
      </c>
      <c r="AD22" t="n">
        <v>9</v>
      </c>
      <c r="AE22" t="n">
        <v>47</v>
      </c>
      <c r="AF22" t="n">
        <v>3</v>
      </c>
      <c r="AG22" t="n">
        <v>20</v>
      </c>
      <c r="AH22" t="n">
        <v>2</v>
      </c>
      <c r="AI22" t="n">
        <v>9</v>
      </c>
      <c r="AJ22" t="n">
        <v>4</v>
      </c>
      <c r="AK22" t="n">
        <v>21</v>
      </c>
      <c r="AL22" t="n">
        <v>1</v>
      </c>
      <c r="AM22" t="n">
        <v>8</v>
      </c>
      <c r="AN22" t="n">
        <v>0</v>
      </c>
      <c r="AO22" t="n">
        <v>0</v>
      </c>
      <c r="AP22" t="inlineStr">
        <is>
          <t>No</t>
        </is>
      </c>
      <c r="AQ22" t="inlineStr">
        <is>
          <t>Yes</t>
        </is>
      </c>
      <c r="AR22">
        <f>HYPERLINK("http://catalog.hathitrust.org/Record/007121995","HathiTrust Record")</f>
        <v/>
      </c>
      <c r="AS22">
        <f>HYPERLINK("https://creighton-primo.hosted.exlibrisgroup.com/primo-explore/search?tab=default_tab&amp;search_scope=EVERYTHING&amp;vid=01CRU&amp;lang=en_US&amp;offset=0&amp;query=any,contains,991005071509702656","Catalog Record")</f>
        <v/>
      </c>
      <c r="AT22">
        <f>HYPERLINK("http://www.worldcat.org/oclc/7031796","WorldCat Record")</f>
        <v/>
      </c>
      <c r="AU22" t="inlineStr">
        <is>
          <t>50864116:eng</t>
        </is>
      </c>
      <c r="AV22" t="inlineStr">
        <is>
          <t>7031796</t>
        </is>
      </c>
      <c r="AW22" t="inlineStr">
        <is>
          <t>991005071509702656</t>
        </is>
      </c>
      <c r="AX22" t="inlineStr">
        <is>
          <t>991005071509702656</t>
        </is>
      </c>
      <c r="AY22" t="inlineStr">
        <is>
          <t>2255303620002656</t>
        </is>
      </c>
      <c r="AZ22" t="inlineStr">
        <is>
          <t>BOOK</t>
        </is>
      </c>
      <c r="BC22" t="inlineStr">
        <is>
          <t>32285001034577</t>
        </is>
      </c>
      <c r="BD22" t="inlineStr">
        <is>
          <t>893446539</t>
        </is>
      </c>
    </row>
    <row r="23">
      <c r="A23" t="inlineStr">
        <is>
          <t>No</t>
        </is>
      </c>
      <c r="B23" t="inlineStr">
        <is>
          <t>NA1115 .W613 1966</t>
        </is>
      </c>
      <c r="C23" t="inlineStr">
        <is>
          <t>0                      NA 1115000W  613         1966</t>
        </is>
      </c>
      <c r="D23" t="inlineStr">
        <is>
          <t>Renaissance and baroque / translated by Kathrin Simon. With an introd. by Peter Murray.</t>
        </is>
      </c>
      <c r="F23" t="inlineStr">
        <is>
          <t>No</t>
        </is>
      </c>
      <c r="G23" t="inlineStr">
        <is>
          <t>1</t>
        </is>
      </c>
      <c r="H23" t="inlineStr">
        <is>
          <t>No</t>
        </is>
      </c>
      <c r="I23" t="inlineStr">
        <is>
          <t>No</t>
        </is>
      </c>
      <c r="J23" t="inlineStr">
        <is>
          <t>0</t>
        </is>
      </c>
      <c r="K23" t="inlineStr">
        <is>
          <t>Wölfflin, Heinrich, 1864-1945.</t>
        </is>
      </c>
      <c r="L23" t="inlineStr">
        <is>
          <t>Ithaca, N.Y. : Cornell University Press, [1966]</t>
        </is>
      </c>
      <c r="M23" t="inlineStr">
        <is>
          <t>1966</t>
        </is>
      </c>
      <c r="O23" t="inlineStr">
        <is>
          <t>eng</t>
        </is>
      </c>
      <c r="P23" t="inlineStr">
        <is>
          <t>nyu</t>
        </is>
      </c>
      <c r="R23" t="inlineStr">
        <is>
          <t xml:space="preserve">NA </t>
        </is>
      </c>
      <c r="S23" t="n">
        <v>9</v>
      </c>
      <c r="T23" t="n">
        <v>9</v>
      </c>
      <c r="U23" t="inlineStr">
        <is>
          <t>2008-10-14</t>
        </is>
      </c>
      <c r="V23" t="inlineStr">
        <is>
          <t>2008-10-14</t>
        </is>
      </c>
      <c r="W23" t="inlineStr">
        <is>
          <t>1990-02-21</t>
        </is>
      </c>
      <c r="X23" t="inlineStr">
        <is>
          <t>1990-02-21</t>
        </is>
      </c>
      <c r="Y23" t="n">
        <v>1031</v>
      </c>
      <c r="Z23" t="n">
        <v>960</v>
      </c>
      <c r="AA23" t="n">
        <v>1133</v>
      </c>
      <c r="AB23" t="n">
        <v>8</v>
      </c>
      <c r="AC23" t="n">
        <v>10</v>
      </c>
      <c r="AD23" t="n">
        <v>37</v>
      </c>
      <c r="AE23" t="n">
        <v>45</v>
      </c>
      <c r="AF23" t="n">
        <v>18</v>
      </c>
      <c r="AG23" t="n">
        <v>19</v>
      </c>
      <c r="AH23" t="n">
        <v>5</v>
      </c>
      <c r="AI23" t="n">
        <v>8</v>
      </c>
      <c r="AJ23" t="n">
        <v>19</v>
      </c>
      <c r="AK23" t="n">
        <v>23</v>
      </c>
      <c r="AL23" t="n">
        <v>5</v>
      </c>
      <c r="AM23" t="n">
        <v>7</v>
      </c>
      <c r="AN23" t="n">
        <v>0</v>
      </c>
      <c r="AO23" t="n">
        <v>0</v>
      </c>
      <c r="AP23" t="inlineStr">
        <is>
          <t>No</t>
        </is>
      </c>
      <c r="AQ23" t="inlineStr">
        <is>
          <t>Yes</t>
        </is>
      </c>
      <c r="AR23">
        <f>HYPERLINK("http://catalog.hathitrust.org/Record/000455069","HathiTrust Record")</f>
        <v/>
      </c>
      <c r="AS23">
        <f>HYPERLINK("https://creighton-primo.hosted.exlibrisgroup.com/primo-explore/search?tab=default_tab&amp;search_scope=EVERYTHING&amp;vid=01CRU&amp;lang=en_US&amp;offset=0&amp;query=any,contains,991001915489702656","Catalog Record")</f>
        <v/>
      </c>
      <c r="AT23">
        <f>HYPERLINK("http://www.worldcat.org/oclc/243556","WorldCat Record")</f>
        <v/>
      </c>
      <c r="AU23" t="inlineStr">
        <is>
          <t>4460856302:eng</t>
        </is>
      </c>
      <c r="AV23" t="inlineStr">
        <is>
          <t>243556</t>
        </is>
      </c>
      <c r="AW23" t="inlineStr">
        <is>
          <t>991001915489702656</t>
        </is>
      </c>
      <c r="AX23" t="inlineStr">
        <is>
          <t>991001915489702656</t>
        </is>
      </c>
      <c r="AY23" t="inlineStr">
        <is>
          <t>2270603040002656</t>
        </is>
      </c>
      <c r="AZ23" t="inlineStr">
        <is>
          <t>BOOK</t>
        </is>
      </c>
      <c r="BC23" t="inlineStr">
        <is>
          <t>32285000048479</t>
        </is>
      </c>
      <c r="BD23" t="inlineStr">
        <is>
          <t>893609239</t>
        </is>
      </c>
    </row>
    <row r="24">
      <c r="A24" t="inlineStr">
        <is>
          <t>No</t>
        </is>
      </c>
      <c r="B24" t="inlineStr">
        <is>
          <t>NA1116 .V37 1986</t>
        </is>
      </c>
      <c r="C24" t="inlineStr">
        <is>
          <t>0                      NA 1116000V  37          1986</t>
        </is>
      </c>
      <c r="D24" t="inlineStr">
        <is>
          <t>Italian Baroque and Rococo architecture / John Varriano.</t>
        </is>
      </c>
      <c r="F24" t="inlineStr">
        <is>
          <t>No</t>
        </is>
      </c>
      <c r="G24" t="inlineStr">
        <is>
          <t>1</t>
        </is>
      </c>
      <c r="H24" t="inlineStr">
        <is>
          <t>No</t>
        </is>
      </c>
      <c r="I24" t="inlineStr">
        <is>
          <t>No</t>
        </is>
      </c>
      <c r="J24" t="inlineStr">
        <is>
          <t>0</t>
        </is>
      </c>
      <c r="K24" t="inlineStr">
        <is>
          <t>Varriano, John L.</t>
        </is>
      </c>
      <c r="L24" t="inlineStr">
        <is>
          <t>New York : Oxford University Press, 1986.</t>
        </is>
      </c>
      <c r="M24" t="inlineStr">
        <is>
          <t>1986</t>
        </is>
      </c>
      <c r="O24" t="inlineStr">
        <is>
          <t>eng</t>
        </is>
      </c>
      <c r="P24" t="inlineStr">
        <is>
          <t>nyu</t>
        </is>
      </c>
      <c r="R24" t="inlineStr">
        <is>
          <t xml:space="preserve">NA </t>
        </is>
      </c>
      <c r="S24" t="n">
        <v>1</v>
      </c>
      <c r="T24" t="n">
        <v>1</v>
      </c>
      <c r="U24" t="inlineStr">
        <is>
          <t>2008-11-17</t>
        </is>
      </c>
      <c r="V24" t="inlineStr">
        <is>
          <t>2008-11-17</t>
        </is>
      </c>
      <c r="W24" t="inlineStr">
        <is>
          <t>2008-11-17</t>
        </is>
      </c>
      <c r="X24" t="inlineStr">
        <is>
          <t>2008-11-17</t>
        </is>
      </c>
      <c r="Y24" t="n">
        <v>815</v>
      </c>
      <c r="Z24" t="n">
        <v>643</v>
      </c>
      <c r="AA24" t="n">
        <v>648</v>
      </c>
      <c r="AB24" t="n">
        <v>4</v>
      </c>
      <c r="AC24" t="n">
        <v>4</v>
      </c>
      <c r="AD24" t="n">
        <v>23</v>
      </c>
      <c r="AE24" t="n">
        <v>23</v>
      </c>
      <c r="AF24" t="n">
        <v>8</v>
      </c>
      <c r="AG24" t="n">
        <v>8</v>
      </c>
      <c r="AH24" t="n">
        <v>5</v>
      </c>
      <c r="AI24" t="n">
        <v>5</v>
      </c>
      <c r="AJ24" t="n">
        <v>13</v>
      </c>
      <c r="AK24" t="n">
        <v>13</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HYPERLINK("https://creighton-primo.hosted.exlibrisgroup.com/primo-explore/search?tab=default_tab&amp;search_scope=EVERYTHING&amp;vid=01CRU&amp;lang=en_US&amp;offset=0&amp;query=any,contains,991005275559702656","Catalog Record")</f>
        <v/>
      </c>
      <c r="AT24">
        <f>HYPERLINK("http://www.worldcat.org/oclc/11676361","WorldCat Record")</f>
        <v/>
      </c>
      <c r="AU24" t="inlineStr">
        <is>
          <t>355936767:eng</t>
        </is>
      </c>
      <c r="AV24" t="inlineStr">
        <is>
          <t>11676361</t>
        </is>
      </c>
      <c r="AW24" t="inlineStr">
        <is>
          <t>991005275559702656</t>
        </is>
      </c>
      <c r="AX24" t="inlineStr">
        <is>
          <t>991005275559702656</t>
        </is>
      </c>
      <c r="AY24" t="inlineStr">
        <is>
          <t>2256543760002656</t>
        </is>
      </c>
      <c r="AZ24" t="inlineStr">
        <is>
          <t>BOOK</t>
        </is>
      </c>
      <c r="BB24" t="inlineStr">
        <is>
          <t>9780195035476</t>
        </is>
      </c>
      <c r="BC24" t="inlineStr">
        <is>
          <t>32285005466247</t>
        </is>
      </c>
      <c r="BD24" t="inlineStr">
        <is>
          <t>893424832</t>
        </is>
      </c>
    </row>
    <row r="25">
      <c r="A25" t="inlineStr">
        <is>
          <t>No</t>
        </is>
      </c>
      <c r="B25" t="inlineStr">
        <is>
          <t>NA1118 .E86 1991</t>
        </is>
      </c>
      <c r="C25" t="inlineStr">
        <is>
          <t>0                      NA 1118000E  86          1991</t>
        </is>
      </c>
      <c r="D25" t="inlineStr">
        <is>
          <t>Modernism in Italian architecture, 1890-1940 / Richard A. Etlin.</t>
        </is>
      </c>
      <c r="F25" t="inlineStr">
        <is>
          <t>No</t>
        </is>
      </c>
      <c r="G25" t="inlineStr">
        <is>
          <t>1</t>
        </is>
      </c>
      <c r="H25" t="inlineStr">
        <is>
          <t>No</t>
        </is>
      </c>
      <c r="I25" t="inlineStr">
        <is>
          <t>No</t>
        </is>
      </c>
      <c r="J25" t="inlineStr">
        <is>
          <t>0</t>
        </is>
      </c>
      <c r="K25" t="inlineStr">
        <is>
          <t>Etlin, Richard A.</t>
        </is>
      </c>
      <c r="L25" t="inlineStr">
        <is>
          <t>Cambridge, Mass. : MIT Press, c1991.</t>
        </is>
      </c>
      <c r="M25" t="inlineStr">
        <is>
          <t>1991</t>
        </is>
      </c>
      <c r="O25" t="inlineStr">
        <is>
          <t>eng</t>
        </is>
      </c>
      <c r="P25" t="inlineStr">
        <is>
          <t>mau</t>
        </is>
      </c>
      <c r="R25" t="inlineStr">
        <is>
          <t xml:space="preserve">NA </t>
        </is>
      </c>
      <c r="S25" t="n">
        <v>1</v>
      </c>
      <c r="T25" t="n">
        <v>1</v>
      </c>
      <c r="U25" t="inlineStr">
        <is>
          <t>2010-09-21</t>
        </is>
      </c>
      <c r="V25" t="inlineStr">
        <is>
          <t>2010-09-21</t>
        </is>
      </c>
      <c r="W25" t="inlineStr">
        <is>
          <t>2010-09-21</t>
        </is>
      </c>
      <c r="X25" t="inlineStr">
        <is>
          <t>2010-09-21</t>
        </is>
      </c>
      <c r="Y25" t="n">
        <v>460</v>
      </c>
      <c r="Z25" t="n">
        <v>314</v>
      </c>
      <c r="AA25" t="n">
        <v>452</v>
      </c>
      <c r="AB25" t="n">
        <v>2</v>
      </c>
      <c r="AC25" t="n">
        <v>3</v>
      </c>
      <c r="AD25" t="n">
        <v>14</v>
      </c>
      <c r="AE25" t="n">
        <v>22</v>
      </c>
      <c r="AF25" t="n">
        <v>2</v>
      </c>
      <c r="AG25" t="n">
        <v>6</v>
      </c>
      <c r="AH25" t="n">
        <v>4</v>
      </c>
      <c r="AI25" t="n">
        <v>8</v>
      </c>
      <c r="AJ25" t="n">
        <v>9</v>
      </c>
      <c r="AK25" t="n">
        <v>11</v>
      </c>
      <c r="AL25" t="n">
        <v>1</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HYPERLINK("https://creighton-primo.hosted.exlibrisgroup.com/primo-explore/search?tab=default_tab&amp;search_scope=EVERYTHING&amp;vid=01CRU&amp;lang=en_US&amp;offset=0&amp;query=any,contains,991000108819702656","Catalog Record")</f>
        <v/>
      </c>
      <c r="AT25">
        <f>HYPERLINK("http://www.worldcat.org/oclc/21195400","WorldCat Record")</f>
        <v/>
      </c>
      <c r="AU25" t="inlineStr">
        <is>
          <t>2556496:eng</t>
        </is>
      </c>
      <c r="AV25" t="inlineStr">
        <is>
          <t>21195400</t>
        </is>
      </c>
      <c r="AW25" t="inlineStr">
        <is>
          <t>991000108819702656</t>
        </is>
      </c>
      <c r="AX25" t="inlineStr">
        <is>
          <t>991000108819702656</t>
        </is>
      </c>
      <c r="AY25" t="inlineStr">
        <is>
          <t>2268884880002656</t>
        </is>
      </c>
      <c r="AZ25" t="inlineStr">
        <is>
          <t>BOOK</t>
        </is>
      </c>
      <c r="BB25" t="inlineStr">
        <is>
          <t>9780262050388</t>
        </is>
      </c>
      <c r="BC25" t="inlineStr">
        <is>
          <t>32285005595474</t>
        </is>
      </c>
      <c r="BD25" t="inlineStr">
        <is>
          <t>893902898</t>
        </is>
      </c>
    </row>
    <row r="26">
      <c r="A26" t="inlineStr">
        <is>
          <t>No</t>
        </is>
      </c>
      <c r="B26" t="inlineStr">
        <is>
          <t>NA1121.V4 H68 1981</t>
        </is>
      </c>
      <c r="C26" t="inlineStr">
        <is>
          <t>0                      NA 1121000V  4                  H  68          1981</t>
        </is>
      </c>
      <c r="D26" t="inlineStr">
        <is>
          <t>The architectural history of Venice / by Deborah Howard.</t>
        </is>
      </c>
      <c r="F26" t="inlineStr">
        <is>
          <t>No</t>
        </is>
      </c>
      <c r="G26" t="inlineStr">
        <is>
          <t>1</t>
        </is>
      </c>
      <c r="H26" t="inlineStr">
        <is>
          <t>No</t>
        </is>
      </c>
      <c r="I26" t="inlineStr">
        <is>
          <t>No</t>
        </is>
      </c>
      <c r="J26" t="inlineStr">
        <is>
          <t>0</t>
        </is>
      </c>
      <c r="K26" t="inlineStr">
        <is>
          <t>Howard, Deborah, 1946-</t>
        </is>
      </c>
      <c r="L26" t="inlineStr">
        <is>
          <t>New York : Holmes &amp; Meier, 1981.</t>
        </is>
      </c>
      <c r="M26" t="inlineStr">
        <is>
          <t>1981</t>
        </is>
      </c>
      <c r="O26" t="inlineStr">
        <is>
          <t>eng</t>
        </is>
      </c>
      <c r="P26" t="inlineStr">
        <is>
          <t>nyu</t>
        </is>
      </c>
      <c r="R26" t="inlineStr">
        <is>
          <t xml:space="preserve">NA </t>
        </is>
      </c>
      <c r="S26" t="n">
        <v>13</v>
      </c>
      <c r="T26" t="n">
        <v>13</v>
      </c>
      <c r="U26" t="inlineStr">
        <is>
          <t>1999-04-29</t>
        </is>
      </c>
      <c r="V26" t="inlineStr">
        <is>
          <t>1999-04-29</t>
        </is>
      </c>
      <c r="W26" t="inlineStr">
        <is>
          <t>1992-04-06</t>
        </is>
      </c>
      <c r="X26" t="inlineStr">
        <is>
          <t>1992-04-06</t>
        </is>
      </c>
      <c r="Y26" t="n">
        <v>259</v>
      </c>
      <c r="Z26" t="n">
        <v>235</v>
      </c>
      <c r="AA26" t="n">
        <v>640</v>
      </c>
      <c r="AB26" t="n">
        <v>2</v>
      </c>
      <c r="AC26" t="n">
        <v>4</v>
      </c>
      <c r="AD26" t="n">
        <v>7</v>
      </c>
      <c r="AE26" t="n">
        <v>34</v>
      </c>
      <c r="AF26" t="n">
        <v>2</v>
      </c>
      <c r="AG26" t="n">
        <v>15</v>
      </c>
      <c r="AH26" t="n">
        <v>1</v>
      </c>
      <c r="AI26" t="n">
        <v>9</v>
      </c>
      <c r="AJ26" t="n">
        <v>5</v>
      </c>
      <c r="AK26" t="n">
        <v>17</v>
      </c>
      <c r="AL26" t="n">
        <v>1</v>
      </c>
      <c r="AM26" t="n">
        <v>3</v>
      </c>
      <c r="AN26" t="n">
        <v>0</v>
      </c>
      <c r="AO26" t="n">
        <v>0</v>
      </c>
      <c r="AP26" t="inlineStr">
        <is>
          <t>No</t>
        </is>
      </c>
      <c r="AQ26" t="inlineStr">
        <is>
          <t>Yes</t>
        </is>
      </c>
      <c r="AR26">
        <f>HYPERLINK("http://catalog.hathitrust.org/Record/000141016","HathiTrust Record")</f>
        <v/>
      </c>
      <c r="AS26">
        <f>HYPERLINK("https://creighton-primo.hosted.exlibrisgroup.com/primo-explore/search?tab=default_tab&amp;search_scope=EVERYTHING&amp;vid=01CRU&amp;lang=en_US&amp;offset=0&amp;query=any,contains,991005049469702656","Catalog Record")</f>
        <v/>
      </c>
      <c r="AT26">
        <f>HYPERLINK("http://www.worldcat.org/oclc/6863458","WorldCat Record")</f>
        <v/>
      </c>
      <c r="AU26" t="inlineStr">
        <is>
          <t>505853:eng</t>
        </is>
      </c>
      <c r="AV26" t="inlineStr">
        <is>
          <t>6863458</t>
        </is>
      </c>
      <c r="AW26" t="inlineStr">
        <is>
          <t>991005049469702656</t>
        </is>
      </c>
      <c r="AX26" t="inlineStr">
        <is>
          <t>991005049469702656</t>
        </is>
      </c>
      <c r="AY26" t="inlineStr">
        <is>
          <t>2271964480002656</t>
        </is>
      </c>
      <c r="AZ26" t="inlineStr">
        <is>
          <t>BOOK</t>
        </is>
      </c>
      <c r="BB26" t="inlineStr">
        <is>
          <t>9780841906815</t>
        </is>
      </c>
      <c r="BC26" t="inlineStr">
        <is>
          <t>32285001034569</t>
        </is>
      </c>
      <c r="BD26" t="inlineStr">
        <is>
          <t>893801636</t>
        </is>
      </c>
    </row>
    <row r="27">
      <c r="A27" t="inlineStr">
        <is>
          <t>No</t>
        </is>
      </c>
      <c r="B27" t="inlineStr">
        <is>
          <t>NA1121.V4 L53 1982</t>
        </is>
      </c>
      <c r="C27" t="inlineStr">
        <is>
          <t>0                      NA 1121000V  4                  L  53          1982</t>
        </is>
      </c>
      <c r="D27" t="inlineStr">
        <is>
          <t>Renaissance architecture in Venice, 1450-1540 / Ralph Lieberman.</t>
        </is>
      </c>
      <c r="F27" t="inlineStr">
        <is>
          <t>No</t>
        </is>
      </c>
      <c r="G27" t="inlineStr">
        <is>
          <t>1</t>
        </is>
      </c>
      <c r="H27" t="inlineStr">
        <is>
          <t>No</t>
        </is>
      </c>
      <c r="I27" t="inlineStr">
        <is>
          <t>No</t>
        </is>
      </c>
      <c r="J27" t="inlineStr">
        <is>
          <t>0</t>
        </is>
      </c>
      <c r="K27" t="inlineStr">
        <is>
          <t>Lieberman, Ralph.</t>
        </is>
      </c>
      <c r="L27" t="inlineStr">
        <is>
          <t>New York, N.Y. : Abbeville Press, 1982.</t>
        </is>
      </c>
      <c r="M27" t="inlineStr">
        <is>
          <t>1982</t>
        </is>
      </c>
      <c r="O27" t="inlineStr">
        <is>
          <t>eng</t>
        </is>
      </c>
      <c r="P27" t="inlineStr">
        <is>
          <t>nyu</t>
        </is>
      </c>
      <c r="R27" t="inlineStr">
        <is>
          <t xml:space="preserve">NA </t>
        </is>
      </c>
      <c r="S27" t="n">
        <v>8</v>
      </c>
      <c r="T27" t="n">
        <v>8</v>
      </c>
      <c r="U27" t="inlineStr">
        <is>
          <t>2010-03-16</t>
        </is>
      </c>
      <c r="V27" t="inlineStr">
        <is>
          <t>2010-03-16</t>
        </is>
      </c>
      <c r="W27" t="inlineStr">
        <is>
          <t>1993-05-13</t>
        </is>
      </c>
      <c r="X27" t="inlineStr">
        <is>
          <t>1993-05-13</t>
        </is>
      </c>
      <c r="Y27" t="n">
        <v>638</v>
      </c>
      <c r="Z27" t="n">
        <v>543</v>
      </c>
      <c r="AA27" t="n">
        <v>551</v>
      </c>
      <c r="AB27" t="n">
        <v>3</v>
      </c>
      <c r="AC27" t="n">
        <v>3</v>
      </c>
      <c r="AD27" t="n">
        <v>23</v>
      </c>
      <c r="AE27" t="n">
        <v>23</v>
      </c>
      <c r="AF27" t="n">
        <v>9</v>
      </c>
      <c r="AG27" t="n">
        <v>9</v>
      </c>
      <c r="AH27" t="n">
        <v>8</v>
      </c>
      <c r="AI27" t="n">
        <v>8</v>
      </c>
      <c r="AJ27" t="n">
        <v>13</v>
      </c>
      <c r="AK27" t="n">
        <v>13</v>
      </c>
      <c r="AL27" t="n">
        <v>1</v>
      </c>
      <c r="AM27" t="n">
        <v>1</v>
      </c>
      <c r="AN27" t="n">
        <v>0</v>
      </c>
      <c r="AO27" t="n">
        <v>0</v>
      </c>
      <c r="AP27" t="inlineStr">
        <is>
          <t>No</t>
        </is>
      </c>
      <c r="AQ27" t="inlineStr">
        <is>
          <t>Yes</t>
        </is>
      </c>
      <c r="AR27">
        <f>HYPERLINK("http://catalog.hathitrust.org/Record/000233109","HathiTrust Record")</f>
        <v/>
      </c>
      <c r="AS27">
        <f>HYPERLINK("https://creighton-primo.hosted.exlibrisgroup.com/primo-explore/search?tab=default_tab&amp;search_scope=EVERYTHING&amp;vid=01CRU&amp;lang=en_US&amp;offset=0&amp;query=any,contains,991000107019702656","Catalog Record")</f>
        <v/>
      </c>
      <c r="AT27">
        <f>HYPERLINK("http://www.worldcat.org/oclc/8981166","WorldCat Record")</f>
        <v/>
      </c>
      <c r="AU27" t="inlineStr">
        <is>
          <t>553116:eng</t>
        </is>
      </c>
      <c r="AV27" t="inlineStr">
        <is>
          <t>8981166</t>
        </is>
      </c>
      <c r="AW27" t="inlineStr">
        <is>
          <t>991000107019702656</t>
        </is>
      </c>
      <c r="AX27" t="inlineStr">
        <is>
          <t>991000107019702656</t>
        </is>
      </c>
      <c r="AY27" t="inlineStr">
        <is>
          <t>2261335120002656</t>
        </is>
      </c>
      <c r="AZ27" t="inlineStr">
        <is>
          <t>BOOK</t>
        </is>
      </c>
      <c r="BB27" t="inlineStr">
        <is>
          <t>9780896593107</t>
        </is>
      </c>
      <c r="BC27" t="inlineStr">
        <is>
          <t>32285001654770</t>
        </is>
      </c>
      <c r="BD27" t="inlineStr">
        <is>
          <t>893320810</t>
        </is>
      </c>
    </row>
    <row r="28">
      <c r="A28" t="inlineStr">
        <is>
          <t>No</t>
        </is>
      </c>
      <c r="B28" t="inlineStr">
        <is>
          <t>NA1121.V4 R7 1981</t>
        </is>
      </c>
      <c r="C28" t="inlineStr">
        <is>
          <t>0                      NA 1121000V  4                  R  7           1981</t>
        </is>
      </c>
      <c r="D28" t="inlineStr">
        <is>
          <t>The stones of Venice / John Ruskin ; edited &amp; introduced by Jan Morris.</t>
        </is>
      </c>
      <c r="F28" t="inlineStr">
        <is>
          <t>No</t>
        </is>
      </c>
      <c r="G28" t="inlineStr">
        <is>
          <t>1</t>
        </is>
      </c>
      <c r="H28" t="inlineStr">
        <is>
          <t>No</t>
        </is>
      </c>
      <c r="I28" t="inlineStr">
        <is>
          <t>Yes</t>
        </is>
      </c>
      <c r="J28" t="inlineStr">
        <is>
          <t>0</t>
        </is>
      </c>
      <c r="K28" t="inlineStr">
        <is>
          <t>Ruskin, John, 1819-1900.</t>
        </is>
      </c>
      <c r="L28" t="inlineStr">
        <is>
          <t>Boston : Little, Brown, 1981.</t>
        </is>
      </c>
      <c r="M28" t="inlineStr">
        <is>
          <t>1981</t>
        </is>
      </c>
      <c r="N28" t="inlineStr">
        <is>
          <t>1st American ed.</t>
        </is>
      </c>
      <c r="O28" t="inlineStr">
        <is>
          <t>eng</t>
        </is>
      </c>
      <c r="P28" t="inlineStr">
        <is>
          <t>mau</t>
        </is>
      </c>
      <c r="R28" t="inlineStr">
        <is>
          <t xml:space="preserve">NA </t>
        </is>
      </c>
      <c r="S28" t="n">
        <v>6</v>
      </c>
      <c r="T28" t="n">
        <v>6</v>
      </c>
      <c r="U28" t="inlineStr">
        <is>
          <t>2004-11-23</t>
        </is>
      </c>
      <c r="V28" t="inlineStr">
        <is>
          <t>2004-11-23</t>
        </is>
      </c>
      <c r="W28" t="inlineStr">
        <is>
          <t>1993-05-13</t>
        </is>
      </c>
      <c r="X28" t="inlineStr">
        <is>
          <t>1993-05-13</t>
        </is>
      </c>
      <c r="Y28" t="n">
        <v>409</v>
      </c>
      <c r="Z28" t="n">
        <v>372</v>
      </c>
      <c r="AA28" t="n">
        <v>1572</v>
      </c>
      <c r="AB28" t="n">
        <v>3</v>
      </c>
      <c r="AC28" t="n">
        <v>15</v>
      </c>
      <c r="AD28" t="n">
        <v>17</v>
      </c>
      <c r="AE28" t="n">
        <v>59</v>
      </c>
      <c r="AF28" t="n">
        <v>9</v>
      </c>
      <c r="AG28" t="n">
        <v>26</v>
      </c>
      <c r="AH28" t="n">
        <v>2</v>
      </c>
      <c r="AI28" t="n">
        <v>11</v>
      </c>
      <c r="AJ28" t="n">
        <v>8</v>
      </c>
      <c r="AK28" t="n">
        <v>25</v>
      </c>
      <c r="AL28" t="n">
        <v>2</v>
      </c>
      <c r="AM28" t="n">
        <v>11</v>
      </c>
      <c r="AN28" t="n">
        <v>0</v>
      </c>
      <c r="AO28" t="n">
        <v>0</v>
      </c>
      <c r="AP28" t="inlineStr">
        <is>
          <t>No</t>
        </is>
      </c>
      <c r="AQ28" t="inlineStr">
        <is>
          <t>No</t>
        </is>
      </c>
      <c r="AS28">
        <f>HYPERLINK("https://creighton-primo.hosted.exlibrisgroup.com/primo-explore/search?tab=default_tab&amp;search_scope=EVERYTHING&amp;vid=01CRU&amp;lang=en_US&amp;offset=0&amp;query=any,contains,991005160489702656","Catalog Record")</f>
        <v/>
      </c>
      <c r="AT28">
        <f>HYPERLINK("http://www.worldcat.org/oclc/7777709","WorldCat Record")</f>
        <v/>
      </c>
      <c r="AU28" t="inlineStr">
        <is>
          <t>673185:eng</t>
        </is>
      </c>
      <c r="AV28" t="inlineStr">
        <is>
          <t>7777709</t>
        </is>
      </c>
      <c r="AW28" t="inlineStr">
        <is>
          <t>991005160489702656</t>
        </is>
      </c>
      <c r="AX28" t="inlineStr">
        <is>
          <t>991005160489702656</t>
        </is>
      </c>
      <c r="AY28" t="inlineStr">
        <is>
          <t>2271400620002656</t>
        </is>
      </c>
      <c r="AZ28" t="inlineStr">
        <is>
          <t>BOOK</t>
        </is>
      </c>
      <c r="BB28" t="inlineStr">
        <is>
          <t>9780316761901</t>
        </is>
      </c>
      <c r="BC28" t="inlineStr">
        <is>
          <t>32285001654788</t>
        </is>
      </c>
      <c r="BD28" t="inlineStr">
        <is>
          <t>893719889</t>
        </is>
      </c>
    </row>
    <row r="29">
      <c r="A29" t="inlineStr">
        <is>
          <t>No</t>
        </is>
      </c>
      <c r="B29" t="inlineStr">
        <is>
          <t>NA1123.A5 B6713</t>
        </is>
      </c>
      <c r="C29" t="inlineStr">
        <is>
          <t>0                      NA 1123000A  5                  B  6713</t>
        </is>
      </c>
      <c r="D29" t="inlineStr">
        <is>
          <t>Leon Battista Alberti / Franco Borsi ; translated by Rudolf G. Carpanini.</t>
        </is>
      </c>
      <c r="F29" t="inlineStr">
        <is>
          <t>No</t>
        </is>
      </c>
      <c r="G29" t="inlineStr">
        <is>
          <t>1</t>
        </is>
      </c>
      <c r="H29" t="inlineStr">
        <is>
          <t>No</t>
        </is>
      </c>
      <c r="I29" t="inlineStr">
        <is>
          <t>No</t>
        </is>
      </c>
      <c r="J29" t="inlineStr">
        <is>
          <t>0</t>
        </is>
      </c>
      <c r="K29" t="inlineStr">
        <is>
          <t>Borsi, Franco.</t>
        </is>
      </c>
      <c r="L29" t="inlineStr">
        <is>
          <t>New York : Harper &amp; Row, c1977.</t>
        </is>
      </c>
      <c r="M29" t="inlineStr">
        <is>
          <t>1977</t>
        </is>
      </c>
      <c r="N29" t="inlineStr">
        <is>
          <t>1st U. S. ed.</t>
        </is>
      </c>
      <c r="O29" t="inlineStr">
        <is>
          <t>eng</t>
        </is>
      </c>
      <c r="P29" t="inlineStr">
        <is>
          <t>nyu</t>
        </is>
      </c>
      <c r="R29" t="inlineStr">
        <is>
          <t xml:space="preserve">NA </t>
        </is>
      </c>
      <c r="S29" t="n">
        <v>1</v>
      </c>
      <c r="T29" t="n">
        <v>1</v>
      </c>
      <c r="U29" t="inlineStr">
        <is>
          <t>2004-10-04</t>
        </is>
      </c>
      <c r="V29" t="inlineStr">
        <is>
          <t>2004-10-04</t>
        </is>
      </c>
      <c r="W29" t="inlineStr">
        <is>
          <t>1993-05-13</t>
        </is>
      </c>
      <c r="X29" t="inlineStr">
        <is>
          <t>1993-05-13</t>
        </is>
      </c>
      <c r="Y29" t="n">
        <v>382</v>
      </c>
      <c r="Z29" t="n">
        <v>341</v>
      </c>
      <c r="AA29" t="n">
        <v>403</v>
      </c>
      <c r="AB29" t="n">
        <v>3</v>
      </c>
      <c r="AC29" t="n">
        <v>3</v>
      </c>
      <c r="AD29" t="n">
        <v>11</v>
      </c>
      <c r="AE29" t="n">
        <v>12</v>
      </c>
      <c r="AF29" t="n">
        <v>6</v>
      </c>
      <c r="AG29" t="n">
        <v>6</v>
      </c>
      <c r="AH29" t="n">
        <v>2</v>
      </c>
      <c r="AI29" t="n">
        <v>3</v>
      </c>
      <c r="AJ29" t="n">
        <v>4</v>
      </c>
      <c r="AK29" t="n">
        <v>5</v>
      </c>
      <c r="AL29" t="n">
        <v>1</v>
      </c>
      <c r="AM29" t="n">
        <v>1</v>
      </c>
      <c r="AN29" t="n">
        <v>0</v>
      </c>
      <c r="AO29" t="n">
        <v>0</v>
      </c>
      <c r="AP29" t="inlineStr">
        <is>
          <t>No</t>
        </is>
      </c>
      <c r="AQ29" t="inlineStr">
        <is>
          <t>Yes</t>
        </is>
      </c>
      <c r="AR29">
        <f>HYPERLINK("http://catalog.hathitrust.org/Record/101998957","HathiTrust Record")</f>
        <v/>
      </c>
      <c r="AS29">
        <f>HYPERLINK("https://creighton-primo.hosted.exlibrisgroup.com/primo-explore/search?tab=default_tab&amp;search_scope=EVERYTHING&amp;vid=01CRU&amp;lang=en_US&amp;offset=0&amp;query=any,contains,991004366629702656","Catalog Record")</f>
        <v/>
      </c>
      <c r="AT29">
        <f>HYPERLINK("http://www.worldcat.org/oclc/3171787","WorldCat Record")</f>
        <v/>
      </c>
      <c r="AU29" t="inlineStr">
        <is>
          <t>3768528228:eng</t>
        </is>
      </c>
      <c r="AV29" t="inlineStr">
        <is>
          <t>3171787</t>
        </is>
      </c>
      <c r="AW29" t="inlineStr">
        <is>
          <t>991004366629702656</t>
        </is>
      </c>
      <c r="AX29" t="inlineStr">
        <is>
          <t>991004366629702656</t>
        </is>
      </c>
      <c r="AY29" t="inlineStr">
        <is>
          <t>2262707700002656</t>
        </is>
      </c>
      <c r="AZ29" t="inlineStr">
        <is>
          <t>BOOK</t>
        </is>
      </c>
      <c r="BB29" t="inlineStr">
        <is>
          <t>9780060104115</t>
        </is>
      </c>
      <c r="BC29" t="inlineStr">
        <is>
          <t>32285001654796</t>
        </is>
      </c>
      <c r="BD29" t="inlineStr">
        <is>
          <t>893605929</t>
        </is>
      </c>
    </row>
    <row r="30">
      <c r="A30" t="inlineStr">
        <is>
          <t>No</t>
        </is>
      </c>
      <c r="B30" t="inlineStr">
        <is>
          <t>NA1123.A5 G3</t>
        </is>
      </c>
      <c r="C30" t="inlineStr">
        <is>
          <t>0                      NA 1123000A  5                  G  3</t>
        </is>
      </c>
      <c r="D30" t="inlineStr">
        <is>
          <t>Leon Battista Alberti: universal man of the early Renaissance.</t>
        </is>
      </c>
      <c r="F30" t="inlineStr">
        <is>
          <t>No</t>
        </is>
      </c>
      <c r="G30" t="inlineStr">
        <is>
          <t>1</t>
        </is>
      </c>
      <c r="H30" t="inlineStr">
        <is>
          <t>No</t>
        </is>
      </c>
      <c r="I30" t="inlineStr">
        <is>
          <t>No</t>
        </is>
      </c>
      <c r="J30" t="inlineStr">
        <is>
          <t>0</t>
        </is>
      </c>
      <c r="K30" t="inlineStr">
        <is>
          <t>Kelly, Joan, 1928-1982.</t>
        </is>
      </c>
      <c r="L30" t="inlineStr">
        <is>
          <t>Chicago, University of Chicago Press [1969]</t>
        </is>
      </c>
      <c r="M30" t="inlineStr">
        <is>
          <t>1969</t>
        </is>
      </c>
      <c r="O30" t="inlineStr">
        <is>
          <t>eng</t>
        </is>
      </c>
      <c r="P30" t="inlineStr">
        <is>
          <t>ilu</t>
        </is>
      </c>
      <c r="R30" t="inlineStr">
        <is>
          <t xml:space="preserve">NA </t>
        </is>
      </c>
      <c r="S30" t="n">
        <v>1</v>
      </c>
      <c r="T30" t="n">
        <v>1</v>
      </c>
      <c r="U30" t="inlineStr">
        <is>
          <t>2002-12-01</t>
        </is>
      </c>
      <c r="V30" t="inlineStr">
        <is>
          <t>2002-12-01</t>
        </is>
      </c>
      <c r="W30" t="inlineStr">
        <is>
          <t>1997-07-01</t>
        </is>
      </c>
      <c r="X30" t="inlineStr">
        <is>
          <t>1997-07-01</t>
        </is>
      </c>
      <c r="Y30" t="n">
        <v>882</v>
      </c>
      <c r="Z30" t="n">
        <v>724</v>
      </c>
      <c r="AA30" t="n">
        <v>795</v>
      </c>
      <c r="AB30" t="n">
        <v>5</v>
      </c>
      <c r="AC30" t="n">
        <v>5</v>
      </c>
      <c r="AD30" t="n">
        <v>31</v>
      </c>
      <c r="AE30" t="n">
        <v>37</v>
      </c>
      <c r="AF30" t="n">
        <v>12</v>
      </c>
      <c r="AG30" t="n">
        <v>15</v>
      </c>
      <c r="AH30" t="n">
        <v>8</v>
      </c>
      <c r="AI30" t="n">
        <v>9</v>
      </c>
      <c r="AJ30" t="n">
        <v>15</v>
      </c>
      <c r="AK30" t="n">
        <v>18</v>
      </c>
      <c r="AL30" t="n">
        <v>4</v>
      </c>
      <c r="AM30" t="n">
        <v>4</v>
      </c>
      <c r="AN30" t="n">
        <v>0</v>
      </c>
      <c r="AO30" t="n">
        <v>0</v>
      </c>
      <c r="AP30" t="inlineStr">
        <is>
          <t>No</t>
        </is>
      </c>
      <c r="AQ30" t="inlineStr">
        <is>
          <t>No</t>
        </is>
      </c>
      <c r="AS30">
        <f>HYPERLINK("https://creighton-primo.hosted.exlibrisgroup.com/primo-explore/search?tab=default_tab&amp;search_scope=EVERYTHING&amp;vid=01CRU&amp;lang=en_US&amp;offset=0&amp;query=any,contains,991000502069702656","Catalog Record")</f>
        <v/>
      </c>
      <c r="AT30">
        <f>HYPERLINK("http://www.worldcat.org/oclc/81699","WorldCat Record")</f>
        <v/>
      </c>
      <c r="AU30" t="inlineStr">
        <is>
          <t>43090683:eng</t>
        </is>
      </c>
      <c r="AV30" t="inlineStr">
        <is>
          <t>81699</t>
        </is>
      </c>
      <c r="AW30" t="inlineStr">
        <is>
          <t>991000502069702656</t>
        </is>
      </c>
      <c r="AX30" t="inlineStr">
        <is>
          <t>991000502069702656</t>
        </is>
      </c>
      <c r="AY30" t="inlineStr">
        <is>
          <t>2272146530002656</t>
        </is>
      </c>
      <c r="AZ30" t="inlineStr">
        <is>
          <t>BOOK</t>
        </is>
      </c>
      <c r="BB30" t="inlineStr">
        <is>
          <t>9780226307893</t>
        </is>
      </c>
      <c r="BC30" t="inlineStr">
        <is>
          <t>32285002861861</t>
        </is>
      </c>
      <c r="BD30" t="inlineStr">
        <is>
          <t>893683473</t>
        </is>
      </c>
    </row>
    <row r="31">
      <c r="A31" t="inlineStr">
        <is>
          <t>No</t>
        </is>
      </c>
      <c r="B31" t="inlineStr">
        <is>
          <t>NA1123.A5 G73 2000</t>
        </is>
      </c>
      <c r="C31" t="inlineStr">
        <is>
          <t>0                      NA 1123000A  5                  G  73          2000</t>
        </is>
      </c>
      <c r="D31" t="inlineStr">
        <is>
          <t>Leon Battista Alberti : master builder of the Italian Renaissance / Anthony Grafton.</t>
        </is>
      </c>
      <c r="F31" t="inlineStr">
        <is>
          <t>No</t>
        </is>
      </c>
      <c r="G31" t="inlineStr">
        <is>
          <t>1</t>
        </is>
      </c>
      <c r="H31" t="inlineStr">
        <is>
          <t>No</t>
        </is>
      </c>
      <c r="I31" t="inlineStr">
        <is>
          <t>No</t>
        </is>
      </c>
      <c r="J31" t="inlineStr">
        <is>
          <t>0</t>
        </is>
      </c>
      <c r="K31" t="inlineStr">
        <is>
          <t>Grafton, Anthony.</t>
        </is>
      </c>
      <c r="L31" t="inlineStr">
        <is>
          <t>New York : Hill and Wang, 2000.</t>
        </is>
      </c>
      <c r="M31" t="inlineStr">
        <is>
          <t>2000</t>
        </is>
      </c>
      <c r="N31" t="inlineStr">
        <is>
          <t>1st ed.</t>
        </is>
      </c>
      <c r="O31" t="inlineStr">
        <is>
          <t>eng</t>
        </is>
      </c>
      <c r="P31" t="inlineStr">
        <is>
          <t>nyu</t>
        </is>
      </c>
      <c r="R31" t="inlineStr">
        <is>
          <t xml:space="preserve">NA </t>
        </is>
      </c>
      <c r="S31" t="n">
        <v>3</v>
      </c>
      <c r="T31" t="n">
        <v>3</v>
      </c>
      <c r="U31" t="inlineStr">
        <is>
          <t>2009-04-01</t>
        </is>
      </c>
      <c r="V31" t="inlineStr">
        <is>
          <t>2009-04-01</t>
        </is>
      </c>
      <c r="W31" t="inlineStr">
        <is>
          <t>2002-04-15</t>
        </is>
      </c>
      <c r="X31" t="inlineStr">
        <is>
          <t>2002-04-15</t>
        </is>
      </c>
      <c r="Y31" t="n">
        <v>731</v>
      </c>
      <c r="Z31" t="n">
        <v>634</v>
      </c>
      <c r="AA31" t="n">
        <v>724</v>
      </c>
      <c r="AB31" t="n">
        <v>3</v>
      </c>
      <c r="AC31" t="n">
        <v>3</v>
      </c>
      <c r="AD31" t="n">
        <v>28</v>
      </c>
      <c r="AE31" t="n">
        <v>34</v>
      </c>
      <c r="AF31" t="n">
        <v>12</v>
      </c>
      <c r="AG31" t="n">
        <v>17</v>
      </c>
      <c r="AH31" t="n">
        <v>5</v>
      </c>
      <c r="AI31" t="n">
        <v>8</v>
      </c>
      <c r="AJ31" t="n">
        <v>16</v>
      </c>
      <c r="AK31" t="n">
        <v>17</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HYPERLINK("https://creighton-primo.hosted.exlibrisgroup.com/primo-explore/search?tab=default_tab&amp;search_scope=EVERYTHING&amp;vid=01CRU&amp;lang=en_US&amp;offset=0&amp;query=any,contains,991003782279702656","Catalog Record")</f>
        <v/>
      </c>
      <c r="AT31">
        <f>HYPERLINK("http://www.worldcat.org/oclc/43728987","WorldCat Record")</f>
        <v/>
      </c>
      <c r="AU31" t="inlineStr">
        <is>
          <t>5966610:eng</t>
        </is>
      </c>
      <c r="AV31" t="inlineStr">
        <is>
          <t>43728987</t>
        </is>
      </c>
      <c r="AW31" t="inlineStr">
        <is>
          <t>991003782279702656</t>
        </is>
      </c>
      <c r="AX31" t="inlineStr">
        <is>
          <t>991003782279702656</t>
        </is>
      </c>
      <c r="AY31" t="inlineStr">
        <is>
          <t>2270350800002656</t>
        </is>
      </c>
      <c r="AZ31" t="inlineStr">
        <is>
          <t>BOOK</t>
        </is>
      </c>
      <c r="BB31" t="inlineStr">
        <is>
          <t>9780809097524</t>
        </is>
      </c>
      <c r="BC31" t="inlineStr">
        <is>
          <t>32285004479498</t>
        </is>
      </c>
      <c r="BD31" t="inlineStr">
        <is>
          <t>893435439</t>
        </is>
      </c>
    </row>
    <row r="32">
      <c r="A32" t="inlineStr">
        <is>
          <t>No</t>
        </is>
      </c>
      <c r="B32" t="inlineStr">
        <is>
          <t>NA1123.B8 H95 1974</t>
        </is>
      </c>
      <c r="C32" t="inlineStr">
        <is>
          <t>0                      NA 1123000B  8                  H  95          1974</t>
        </is>
      </c>
      <c r="D32" t="inlineStr">
        <is>
          <t>Brunelleschi in perspective.</t>
        </is>
      </c>
      <c r="F32" t="inlineStr">
        <is>
          <t>No</t>
        </is>
      </c>
      <c r="G32" t="inlineStr">
        <is>
          <t>1</t>
        </is>
      </c>
      <c r="H32" t="inlineStr">
        <is>
          <t>No</t>
        </is>
      </c>
      <c r="I32" t="inlineStr">
        <is>
          <t>No</t>
        </is>
      </c>
      <c r="J32" t="inlineStr">
        <is>
          <t>0</t>
        </is>
      </c>
      <c r="K32" t="inlineStr">
        <is>
          <t>Hyman, Isabelle, compiler.</t>
        </is>
      </c>
      <c r="L32" t="inlineStr">
        <is>
          <t>Englewood Cliffs, N.J., Prentice-Hall [1974]</t>
        </is>
      </c>
      <c r="M32" t="inlineStr">
        <is>
          <t>1974</t>
        </is>
      </c>
      <c r="O32" t="inlineStr">
        <is>
          <t>eng</t>
        </is>
      </c>
      <c r="P32" t="inlineStr">
        <is>
          <t>nju</t>
        </is>
      </c>
      <c r="Q32" t="inlineStr">
        <is>
          <t>A Spectrum book</t>
        </is>
      </c>
      <c r="R32" t="inlineStr">
        <is>
          <t xml:space="preserve">NA </t>
        </is>
      </c>
      <c r="S32" t="n">
        <v>4</v>
      </c>
      <c r="T32" t="n">
        <v>4</v>
      </c>
      <c r="U32" t="inlineStr">
        <is>
          <t>2005-03-29</t>
        </is>
      </c>
      <c r="V32" t="inlineStr">
        <is>
          <t>2005-03-29</t>
        </is>
      </c>
      <c r="W32" t="inlineStr">
        <is>
          <t>1997-09-10</t>
        </is>
      </c>
      <c r="X32" t="inlineStr">
        <is>
          <t>1997-09-10</t>
        </is>
      </c>
      <c r="Y32" t="n">
        <v>857</v>
      </c>
      <c r="Z32" t="n">
        <v>714</v>
      </c>
      <c r="AA32" t="n">
        <v>728</v>
      </c>
      <c r="AB32" t="n">
        <v>5</v>
      </c>
      <c r="AC32" t="n">
        <v>5</v>
      </c>
      <c r="AD32" t="n">
        <v>26</v>
      </c>
      <c r="AE32" t="n">
        <v>26</v>
      </c>
      <c r="AF32" t="n">
        <v>11</v>
      </c>
      <c r="AG32" t="n">
        <v>11</v>
      </c>
      <c r="AH32" t="n">
        <v>7</v>
      </c>
      <c r="AI32" t="n">
        <v>7</v>
      </c>
      <c r="AJ32" t="n">
        <v>13</v>
      </c>
      <c r="AK32" t="n">
        <v>13</v>
      </c>
      <c r="AL32" t="n">
        <v>3</v>
      </c>
      <c r="AM32" t="n">
        <v>3</v>
      </c>
      <c r="AN32" t="n">
        <v>0</v>
      </c>
      <c r="AO32" t="n">
        <v>0</v>
      </c>
      <c r="AP32" t="inlineStr">
        <is>
          <t>No</t>
        </is>
      </c>
      <c r="AQ32" t="inlineStr">
        <is>
          <t>Yes</t>
        </is>
      </c>
      <c r="AR32">
        <f>HYPERLINK("http://catalog.hathitrust.org/Record/000455868","HathiTrust Record")</f>
        <v/>
      </c>
      <c r="AS32">
        <f>HYPERLINK("https://creighton-primo.hosted.exlibrisgroup.com/primo-explore/search?tab=default_tab&amp;search_scope=EVERYTHING&amp;vid=01CRU&amp;lang=en_US&amp;offset=0&amp;query=any,contains,991003136099702656","Catalog Record")</f>
        <v/>
      </c>
      <c r="AT32">
        <f>HYPERLINK("http://www.worldcat.org/oclc/677646","WorldCat Record")</f>
        <v/>
      </c>
      <c r="AU32" t="inlineStr">
        <is>
          <t>1736371:eng</t>
        </is>
      </c>
      <c r="AV32" t="inlineStr">
        <is>
          <t>677646</t>
        </is>
      </c>
      <c r="AW32" t="inlineStr">
        <is>
          <t>991003136099702656</t>
        </is>
      </c>
      <c r="AX32" t="inlineStr">
        <is>
          <t>991003136099702656</t>
        </is>
      </c>
      <c r="AY32" t="inlineStr">
        <is>
          <t>2272437950002656</t>
        </is>
      </c>
      <c r="AZ32" t="inlineStr">
        <is>
          <t>BOOK</t>
        </is>
      </c>
      <c r="BB32" t="inlineStr">
        <is>
          <t>9780130848970</t>
        </is>
      </c>
      <c r="BC32" t="inlineStr">
        <is>
          <t>32285003170213</t>
        </is>
      </c>
      <c r="BD32" t="inlineStr">
        <is>
          <t>893505248</t>
        </is>
      </c>
    </row>
    <row r="33">
      <c r="A33" t="inlineStr">
        <is>
          <t>No</t>
        </is>
      </c>
      <c r="B33" t="inlineStr">
        <is>
          <t>NA1123.B9 A8713 1993</t>
        </is>
      </c>
      <c r="C33" t="inlineStr">
        <is>
          <t>0                      NA 1123000B  9                  A  8713        1993</t>
        </is>
      </c>
      <c r="D33" t="inlineStr">
        <is>
          <t>Michelangelo architect / by Giulio Carlo Argan and Bruno Contardi ; translated from the Italian by Marion L. Grayson.</t>
        </is>
      </c>
      <c r="F33" t="inlineStr">
        <is>
          <t>No</t>
        </is>
      </c>
      <c r="G33" t="inlineStr">
        <is>
          <t>1</t>
        </is>
      </c>
      <c r="H33" t="inlineStr">
        <is>
          <t>No</t>
        </is>
      </c>
      <c r="I33" t="inlineStr">
        <is>
          <t>No</t>
        </is>
      </c>
      <c r="J33" t="inlineStr">
        <is>
          <t>0</t>
        </is>
      </c>
      <c r="K33" t="inlineStr">
        <is>
          <t>Argan, Giulio Carlo.</t>
        </is>
      </c>
      <c r="L33" t="inlineStr">
        <is>
          <t>New York : Harry N. Abrams, 1993.</t>
        </is>
      </c>
      <c r="M33" t="inlineStr">
        <is>
          <t>1993</t>
        </is>
      </c>
      <c r="O33" t="inlineStr">
        <is>
          <t>eng</t>
        </is>
      </c>
      <c r="P33" t="inlineStr">
        <is>
          <t>nyu</t>
        </is>
      </c>
      <c r="R33" t="inlineStr">
        <is>
          <t xml:space="preserve">NA </t>
        </is>
      </c>
      <c r="S33" t="n">
        <v>8</v>
      </c>
      <c r="T33" t="n">
        <v>8</v>
      </c>
      <c r="U33" t="inlineStr">
        <is>
          <t>2009-04-21</t>
        </is>
      </c>
      <c r="V33" t="inlineStr">
        <is>
          <t>2009-04-21</t>
        </is>
      </c>
      <c r="W33" t="inlineStr">
        <is>
          <t>1994-05-09</t>
        </is>
      </c>
      <c r="X33" t="inlineStr">
        <is>
          <t>1994-05-09</t>
        </is>
      </c>
      <c r="Y33" t="n">
        <v>623</v>
      </c>
      <c r="Z33" t="n">
        <v>557</v>
      </c>
      <c r="AA33" t="n">
        <v>593</v>
      </c>
      <c r="AB33" t="n">
        <v>4</v>
      </c>
      <c r="AC33" t="n">
        <v>4</v>
      </c>
      <c r="AD33" t="n">
        <v>28</v>
      </c>
      <c r="AE33" t="n">
        <v>29</v>
      </c>
      <c r="AF33" t="n">
        <v>8</v>
      </c>
      <c r="AG33" t="n">
        <v>9</v>
      </c>
      <c r="AH33" t="n">
        <v>8</v>
      </c>
      <c r="AI33" t="n">
        <v>8</v>
      </c>
      <c r="AJ33" t="n">
        <v>15</v>
      </c>
      <c r="AK33" t="n">
        <v>15</v>
      </c>
      <c r="AL33" t="n">
        <v>2</v>
      </c>
      <c r="AM33" t="n">
        <v>2</v>
      </c>
      <c r="AN33" t="n">
        <v>0</v>
      </c>
      <c r="AO33" t="n">
        <v>0</v>
      </c>
      <c r="AP33" t="inlineStr">
        <is>
          <t>No</t>
        </is>
      </c>
      <c r="AQ33" t="inlineStr">
        <is>
          <t>Yes</t>
        </is>
      </c>
      <c r="AR33">
        <f>HYPERLINK("http://catalog.hathitrust.org/Record/002794753","HathiTrust Record")</f>
        <v/>
      </c>
      <c r="AS33">
        <f>HYPERLINK("https://creighton-primo.hosted.exlibrisgroup.com/primo-explore/search?tab=default_tab&amp;search_scope=EVERYTHING&amp;vid=01CRU&amp;lang=en_US&amp;offset=0&amp;query=any,contains,991002102619702656","Catalog Record")</f>
        <v/>
      </c>
      <c r="AT33">
        <f>HYPERLINK("http://www.worldcat.org/oclc/26975240","WorldCat Record")</f>
        <v/>
      </c>
      <c r="AU33" t="inlineStr">
        <is>
          <t>353424:eng</t>
        </is>
      </c>
      <c r="AV33" t="inlineStr">
        <is>
          <t>26975240</t>
        </is>
      </c>
      <c r="AW33" t="inlineStr">
        <is>
          <t>991002102619702656</t>
        </is>
      </c>
      <c r="AX33" t="inlineStr">
        <is>
          <t>991002102619702656</t>
        </is>
      </c>
      <c r="AY33" t="inlineStr">
        <is>
          <t>2256805040002656</t>
        </is>
      </c>
      <c r="AZ33" t="inlineStr">
        <is>
          <t>BOOK</t>
        </is>
      </c>
      <c r="BB33" t="inlineStr">
        <is>
          <t>9780810936386</t>
        </is>
      </c>
      <c r="BC33" t="inlineStr">
        <is>
          <t>32285001879799</t>
        </is>
      </c>
      <c r="BD33" t="inlineStr">
        <is>
          <t>893691222</t>
        </is>
      </c>
    </row>
    <row r="34">
      <c r="A34" t="inlineStr">
        <is>
          <t>No</t>
        </is>
      </c>
      <c r="B34" t="inlineStr">
        <is>
          <t>NA1181 .B7 1983</t>
        </is>
      </c>
      <c r="C34" t="inlineStr">
        <is>
          <t>0                      NA 1181000B  7           1983</t>
        </is>
      </c>
      <c r="D34" t="inlineStr">
        <is>
          <t>Gold in azure : one thousand years of Russian architecture / text and photographs by William Craft Brumfield.</t>
        </is>
      </c>
      <c r="F34" t="inlineStr">
        <is>
          <t>No</t>
        </is>
      </c>
      <c r="G34" t="inlineStr">
        <is>
          <t>1</t>
        </is>
      </c>
      <c r="H34" t="inlineStr">
        <is>
          <t>No</t>
        </is>
      </c>
      <c r="I34" t="inlineStr">
        <is>
          <t>No</t>
        </is>
      </c>
      <c r="J34" t="inlineStr">
        <is>
          <t>0</t>
        </is>
      </c>
      <c r="K34" t="inlineStr">
        <is>
          <t>Brumfield, William Craft, 1944-</t>
        </is>
      </c>
      <c r="L34" t="inlineStr">
        <is>
          <t>Boston, Mass. : D.R. Godine, 1983.</t>
        </is>
      </c>
      <c r="M34" t="inlineStr">
        <is>
          <t>1983</t>
        </is>
      </c>
      <c r="O34" t="inlineStr">
        <is>
          <t>eng</t>
        </is>
      </c>
      <c r="P34" t="inlineStr">
        <is>
          <t>mau</t>
        </is>
      </c>
      <c r="R34" t="inlineStr">
        <is>
          <t xml:space="preserve">NA </t>
        </is>
      </c>
      <c r="S34" t="n">
        <v>3</v>
      </c>
      <c r="T34" t="n">
        <v>3</v>
      </c>
      <c r="U34" t="inlineStr">
        <is>
          <t>2009-07-20</t>
        </is>
      </c>
      <c r="V34" t="inlineStr">
        <is>
          <t>2009-07-20</t>
        </is>
      </c>
      <c r="W34" t="inlineStr">
        <is>
          <t>1993-05-13</t>
        </is>
      </c>
      <c r="X34" t="inlineStr">
        <is>
          <t>1993-05-13</t>
        </is>
      </c>
      <c r="Y34" t="n">
        <v>751</v>
      </c>
      <c r="Z34" t="n">
        <v>651</v>
      </c>
      <c r="AA34" t="n">
        <v>659</v>
      </c>
      <c r="AB34" t="n">
        <v>3</v>
      </c>
      <c r="AC34" t="n">
        <v>3</v>
      </c>
      <c r="AD34" t="n">
        <v>21</v>
      </c>
      <c r="AE34" t="n">
        <v>21</v>
      </c>
      <c r="AF34" t="n">
        <v>8</v>
      </c>
      <c r="AG34" t="n">
        <v>8</v>
      </c>
      <c r="AH34" t="n">
        <v>5</v>
      </c>
      <c r="AI34" t="n">
        <v>5</v>
      </c>
      <c r="AJ34" t="n">
        <v>8</v>
      </c>
      <c r="AK34" t="n">
        <v>8</v>
      </c>
      <c r="AL34" t="n">
        <v>2</v>
      </c>
      <c r="AM34" t="n">
        <v>2</v>
      </c>
      <c r="AN34" t="n">
        <v>0</v>
      </c>
      <c r="AO34" t="n">
        <v>0</v>
      </c>
      <c r="AP34" t="inlineStr">
        <is>
          <t>No</t>
        </is>
      </c>
      <c r="AQ34" t="inlineStr">
        <is>
          <t>Yes</t>
        </is>
      </c>
      <c r="AR34">
        <f>HYPERLINK("http://catalog.hathitrust.org/Record/000160628","HathiTrust Record")</f>
        <v/>
      </c>
      <c r="AS34">
        <f>HYPERLINK("https://creighton-primo.hosted.exlibrisgroup.com/primo-explore/search?tab=default_tab&amp;search_scope=EVERYTHING&amp;vid=01CRU&amp;lang=en_US&amp;offset=0&amp;query=any,contains,991005228979702656","Catalog Record")</f>
        <v/>
      </c>
      <c r="AT34">
        <f>HYPERLINK("http://www.worldcat.org/oclc/8305898","WorldCat Record")</f>
        <v/>
      </c>
      <c r="AU34" t="inlineStr">
        <is>
          <t>309264127:eng</t>
        </is>
      </c>
      <c r="AV34" t="inlineStr">
        <is>
          <t>8305898</t>
        </is>
      </c>
      <c r="AW34" t="inlineStr">
        <is>
          <t>991005228979702656</t>
        </is>
      </c>
      <c r="AX34" t="inlineStr">
        <is>
          <t>991005228979702656</t>
        </is>
      </c>
      <c r="AY34" t="inlineStr">
        <is>
          <t>2269314530002656</t>
        </is>
      </c>
      <c r="AZ34" t="inlineStr">
        <is>
          <t>BOOK</t>
        </is>
      </c>
      <c r="BB34" t="inlineStr">
        <is>
          <t>9780879234362</t>
        </is>
      </c>
      <c r="BC34" t="inlineStr">
        <is>
          <t>32285001654812</t>
        </is>
      </c>
      <c r="BD34" t="inlineStr">
        <is>
          <t>893418590</t>
        </is>
      </c>
    </row>
    <row r="35">
      <c r="A35" t="inlineStr">
        <is>
          <t>No</t>
        </is>
      </c>
      <c r="B35" t="inlineStr">
        <is>
          <t>NA1303 .W5 1968</t>
        </is>
      </c>
      <c r="C35" t="inlineStr">
        <is>
          <t>0                      NA 1303000W  5           1968</t>
        </is>
      </c>
      <c r="D35" t="inlineStr">
        <is>
          <t>Spanish Romanesque architecture of the eleventh century.</t>
        </is>
      </c>
      <c r="F35" t="inlineStr">
        <is>
          <t>No</t>
        </is>
      </c>
      <c r="G35" t="inlineStr">
        <is>
          <t>1</t>
        </is>
      </c>
      <c r="H35" t="inlineStr">
        <is>
          <t>No</t>
        </is>
      </c>
      <c r="I35" t="inlineStr">
        <is>
          <t>No</t>
        </is>
      </c>
      <c r="J35" t="inlineStr">
        <is>
          <t>0</t>
        </is>
      </c>
      <c r="K35" t="inlineStr">
        <is>
          <t>Whitehill, Walter Muir, 1905-1978.</t>
        </is>
      </c>
      <c r="L35" t="inlineStr">
        <is>
          <t>London : Oxford U.P., 1968.</t>
        </is>
      </c>
      <c r="M35" t="inlineStr">
        <is>
          <t>1968</t>
        </is>
      </c>
      <c r="O35" t="inlineStr">
        <is>
          <t>eng</t>
        </is>
      </c>
      <c r="P35" t="inlineStr">
        <is>
          <t>enk</t>
        </is>
      </c>
      <c r="R35" t="inlineStr">
        <is>
          <t xml:space="preserve">NA </t>
        </is>
      </c>
      <c r="S35" t="n">
        <v>5</v>
      </c>
      <c r="T35" t="n">
        <v>5</v>
      </c>
      <c r="U35" t="inlineStr">
        <is>
          <t>2006-04-11</t>
        </is>
      </c>
      <c r="V35" t="inlineStr">
        <is>
          <t>2006-04-11</t>
        </is>
      </c>
      <c r="W35" t="inlineStr">
        <is>
          <t>1992-02-26</t>
        </is>
      </c>
      <c r="X35" t="inlineStr">
        <is>
          <t>1992-02-26</t>
        </is>
      </c>
      <c r="Y35" t="n">
        <v>282</v>
      </c>
      <c r="Z35" t="n">
        <v>227</v>
      </c>
      <c r="AA35" t="n">
        <v>337</v>
      </c>
      <c r="AB35" t="n">
        <v>1</v>
      </c>
      <c r="AC35" t="n">
        <v>2</v>
      </c>
      <c r="AD35" t="n">
        <v>8</v>
      </c>
      <c r="AE35" t="n">
        <v>12</v>
      </c>
      <c r="AF35" t="n">
        <v>1</v>
      </c>
      <c r="AG35" t="n">
        <v>3</v>
      </c>
      <c r="AH35" t="n">
        <v>2</v>
      </c>
      <c r="AI35" t="n">
        <v>2</v>
      </c>
      <c r="AJ35" t="n">
        <v>7</v>
      </c>
      <c r="AK35" t="n">
        <v>8</v>
      </c>
      <c r="AL35" t="n">
        <v>0</v>
      </c>
      <c r="AM35" t="n">
        <v>1</v>
      </c>
      <c r="AN35" t="n">
        <v>0</v>
      </c>
      <c r="AO35" t="n">
        <v>0</v>
      </c>
      <c r="AP35" t="inlineStr">
        <is>
          <t>No</t>
        </is>
      </c>
      <c r="AQ35" t="inlineStr">
        <is>
          <t>Yes</t>
        </is>
      </c>
      <c r="AR35">
        <f>HYPERLINK("http://catalog.hathitrust.org/Record/007128493","HathiTrust Record")</f>
        <v/>
      </c>
      <c r="AS35">
        <f>HYPERLINK("https://creighton-primo.hosted.exlibrisgroup.com/primo-explore/search?tab=default_tab&amp;search_scope=EVERYTHING&amp;vid=01CRU&amp;lang=en_US&amp;offset=0&amp;query=any,contains,991000072869702656","Catalog Record")</f>
        <v/>
      </c>
      <c r="AT35">
        <f>HYPERLINK("http://www.worldcat.org/oclc/28814","WorldCat Record")</f>
        <v/>
      </c>
      <c r="AU35" t="inlineStr">
        <is>
          <t>4820463944:eng</t>
        </is>
      </c>
      <c r="AV35" t="inlineStr">
        <is>
          <t>28814</t>
        </is>
      </c>
      <c r="AW35" t="inlineStr">
        <is>
          <t>991000072869702656</t>
        </is>
      </c>
      <c r="AX35" t="inlineStr">
        <is>
          <t>991000072869702656</t>
        </is>
      </c>
      <c r="AY35" t="inlineStr">
        <is>
          <t>2264582210002656</t>
        </is>
      </c>
      <c r="AZ35" t="inlineStr">
        <is>
          <t>BOOK</t>
        </is>
      </c>
      <c r="BC35" t="inlineStr">
        <is>
          <t>32285000976471</t>
        </is>
      </c>
      <c r="BD35" t="inlineStr">
        <is>
          <t>893419172</t>
        </is>
      </c>
    </row>
    <row r="36">
      <c r="A36" t="inlineStr">
        <is>
          <t>No</t>
        </is>
      </c>
      <c r="B36" t="inlineStr">
        <is>
          <t>NA1313.G3 D413 1982</t>
        </is>
      </c>
      <c r="C36" t="inlineStr">
        <is>
          <t>0                      NA 1313000G  3                  D  413         1982</t>
        </is>
      </c>
      <c r="D36" t="inlineStr">
        <is>
          <t>Gaudí, the visionary / Robert Descharnes ; [photographs by] Clovis Prévost ; preface by Salvador Dali.</t>
        </is>
      </c>
      <c r="F36" t="inlineStr">
        <is>
          <t>No</t>
        </is>
      </c>
      <c r="G36" t="inlineStr">
        <is>
          <t>1</t>
        </is>
      </c>
      <c r="H36" t="inlineStr">
        <is>
          <t>No</t>
        </is>
      </c>
      <c r="I36" t="inlineStr">
        <is>
          <t>No</t>
        </is>
      </c>
      <c r="J36" t="inlineStr">
        <is>
          <t>0</t>
        </is>
      </c>
      <c r="K36" t="inlineStr">
        <is>
          <t>Descharnes, Robert.</t>
        </is>
      </c>
      <c r="L36" t="inlineStr">
        <is>
          <t>New York : Viking Press, 1982.</t>
        </is>
      </c>
      <c r="M36" t="inlineStr">
        <is>
          <t>1982</t>
        </is>
      </c>
      <c r="O36" t="inlineStr">
        <is>
          <t>eng</t>
        </is>
      </c>
      <c r="P36" t="inlineStr">
        <is>
          <t>nyu</t>
        </is>
      </c>
      <c r="Q36" t="inlineStr">
        <is>
          <t>A Studio book</t>
        </is>
      </c>
      <c r="R36" t="inlineStr">
        <is>
          <t xml:space="preserve">NA </t>
        </is>
      </c>
      <c r="S36" t="n">
        <v>10</v>
      </c>
      <c r="T36" t="n">
        <v>10</v>
      </c>
      <c r="U36" t="inlineStr">
        <is>
          <t>2007-12-09</t>
        </is>
      </c>
      <c r="V36" t="inlineStr">
        <is>
          <t>2007-12-09</t>
        </is>
      </c>
      <c r="W36" t="inlineStr">
        <is>
          <t>1992-03-01</t>
        </is>
      </c>
      <c r="X36" t="inlineStr">
        <is>
          <t>1992-03-01</t>
        </is>
      </c>
      <c r="Y36" t="n">
        <v>323</v>
      </c>
      <c r="Z36" t="n">
        <v>290</v>
      </c>
      <c r="AA36" t="n">
        <v>531</v>
      </c>
      <c r="AB36" t="n">
        <v>3</v>
      </c>
      <c r="AC36" t="n">
        <v>5</v>
      </c>
      <c r="AD36" t="n">
        <v>15</v>
      </c>
      <c r="AE36" t="n">
        <v>22</v>
      </c>
      <c r="AF36" t="n">
        <v>6</v>
      </c>
      <c r="AG36" t="n">
        <v>8</v>
      </c>
      <c r="AH36" t="n">
        <v>6</v>
      </c>
      <c r="AI36" t="n">
        <v>7</v>
      </c>
      <c r="AJ36" t="n">
        <v>5</v>
      </c>
      <c r="AK36" t="n">
        <v>8</v>
      </c>
      <c r="AL36" t="n">
        <v>2</v>
      </c>
      <c r="AM36" t="n">
        <v>4</v>
      </c>
      <c r="AN36" t="n">
        <v>0</v>
      </c>
      <c r="AO36" t="n">
        <v>0</v>
      </c>
      <c r="AP36" t="inlineStr">
        <is>
          <t>No</t>
        </is>
      </c>
      <c r="AQ36" t="inlineStr">
        <is>
          <t>No</t>
        </is>
      </c>
      <c r="AS36">
        <f>HYPERLINK("https://creighton-primo.hosted.exlibrisgroup.com/primo-explore/search?tab=default_tab&amp;search_scope=EVERYTHING&amp;vid=01CRU&amp;lang=en_US&amp;offset=0&amp;query=any,contains,991005220079702656","Catalog Record")</f>
        <v/>
      </c>
      <c r="AT36">
        <f>HYPERLINK("http://www.worldcat.org/oclc/8221279","WorldCat Record")</f>
        <v/>
      </c>
      <c r="AU36" t="inlineStr">
        <is>
          <t>3855329411:eng</t>
        </is>
      </c>
      <c r="AV36" t="inlineStr">
        <is>
          <t>8221279</t>
        </is>
      </c>
      <c r="AW36" t="inlineStr">
        <is>
          <t>991005220079702656</t>
        </is>
      </c>
      <c r="AX36" t="inlineStr">
        <is>
          <t>991005220079702656</t>
        </is>
      </c>
      <c r="AY36" t="inlineStr">
        <is>
          <t>2268620060002656</t>
        </is>
      </c>
      <c r="AZ36" t="inlineStr">
        <is>
          <t>BOOK</t>
        </is>
      </c>
      <c r="BB36" t="inlineStr">
        <is>
          <t>9780670335879</t>
        </is>
      </c>
      <c r="BC36" t="inlineStr">
        <is>
          <t>32285000979293</t>
        </is>
      </c>
      <c r="BD36" t="inlineStr">
        <is>
          <t>893520658</t>
        </is>
      </c>
    </row>
    <row r="37">
      <c r="A37" t="inlineStr">
        <is>
          <t>No</t>
        </is>
      </c>
      <c r="B37" t="inlineStr">
        <is>
          <t>NA1313.G3 J42</t>
        </is>
      </c>
      <c r="C37" t="inlineStr">
        <is>
          <t>0                      NA 1313000G  3                  J  42</t>
        </is>
      </c>
      <c r="D37" t="inlineStr">
        <is>
          <t>Gaudí. Texto: Le Corbusier. Fotosco: Gomis-Prats.</t>
        </is>
      </c>
      <c r="F37" t="inlineStr">
        <is>
          <t>No</t>
        </is>
      </c>
      <c r="G37" t="inlineStr">
        <is>
          <t>1</t>
        </is>
      </c>
      <c r="H37" t="inlineStr">
        <is>
          <t>No</t>
        </is>
      </c>
      <c r="I37" t="inlineStr">
        <is>
          <t>No</t>
        </is>
      </c>
      <c r="J37" t="inlineStr">
        <is>
          <t>0</t>
        </is>
      </c>
      <c r="K37" t="inlineStr">
        <is>
          <t>Gaudí, Antoni, 1852-1926.</t>
        </is>
      </c>
      <c r="L37" t="inlineStr">
        <is>
          <t>Barcelona, Ediciones Polígrafa [1967]</t>
        </is>
      </c>
      <c r="M37" t="inlineStr">
        <is>
          <t>1967</t>
        </is>
      </c>
      <c r="O37" t="inlineStr">
        <is>
          <t>spa</t>
        </is>
      </c>
      <c r="P37" t="inlineStr">
        <is>
          <t xml:space="preserve">sp </t>
        </is>
      </c>
      <c r="R37" t="inlineStr">
        <is>
          <t xml:space="preserve">NA </t>
        </is>
      </c>
      <c r="S37" t="n">
        <v>5</v>
      </c>
      <c r="T37" t="n">
        <v>5</v>
      </c>
      <c r="U37" t="inlineStr">
        <is>
          <t>2007-12-09</t>
        </is>
      </c>
      <c r="V37" t="inlineStr">
        <is>
          <t>2007-12-09</t>
        </is>
      </c>
      <c r="W37" t="inlineStr">
        <is>
          <t>1997-07-01</t>
        </is>
      </c>
      <c r="X37" t="inlineStr">
        <is>
          <t>1997-07-01</t>
        </is>
      </c>
      <c r="Y37" t="n">
        <v>309</v>
      </c>
      <c r="Z37" t="n">
        <v>271</v>
      </c>
      <c r="AA37" t="n">
        <v>274</v>
      </c>
      <c r="AB37" t="n">
        <v>2</v>
      </c>
      <c r="AC37" t="n">
        <v>2</v>
      </c>
      <c r="AD37" t="n">
        <v>7</v>
      </c>
      <c r="AE37" t="n">
        <v>7</v>
      </c>
      <c r="AF37" t="n">
        <v>4</v>
      </c>
      <c r="AG37" t="n">
        <v>4</v>
      </c>
      <c r="AH37" t="n">
        <v>1</v>
      </c>
      <c r="AI37" t="n">
        <v>1</v>
      </c>
      <c r="AJ37" t="n">
        <v>2</v>
      </c>
      <c r="AK37" t="n">
        <v>2</v>
      </c>
      <c r="AL37" t="n">
        <v>1</v>
      </c>
      <c r="AM37" t="n">
        <v>1</v>
      </c>
      <c r="AN37" t="n">
        <v>0</v>
      </c>
      <c r="AO37" t="n">
        <v>0</v>
      </c>
      <c r="AP37" t="inlineStr">
        <is>
          <t>No</t>
        </is>
      </c>
      <c r="AQ37" t="inlineStr">
        <is>
          <t>Yes</t>
        </is>
      </c>
      <c r="AR37">
        <f>HYPERLINK("http://catalog.hathitrust.org/Record/000456566","HathiTrust Record")</f>
        <v/>
      </c>
      <c r="AS37">
        <f>HYPERLINK("https://creighton-primo.hosted.exlibrisgroup.com/primo-explore/search?tab=default_tab&amp;search_scope=EVERYTHING&amp;vid=01CRU&amp;lang=en_US&amp;offset=0&amp;query=any,contains,991002625419702656","Catalog Record")</f>
        <v/>
      </c>
      <c r="AT37">
        <f>HYPERLINK("http://www.worldcat.org/oclc/381916","WorldCat Record")</f>
        <v/>
      </c>
      <c r="AU37" t="inlineStr">
        <is>
          <t>5090956577:spa</t>
        </is>
      </c>
      <c r="AV37" t="inlineStr">
        <is>
          <t>381916</t>
        </is>
      </c>
      <c r="AW37" t="inlineStr">
        <is>
          <t>991002625419702656</t>
        </is>
      </c>
      <c r="AX37" t="inlineStr">
        <is>
          <t>991002625419702656</t>
        </is>
      </c>
      <c r="AY37" t="inlineStr">
        <is>
          <t>2259888680002656</t>
        </is>
      </c>
      <c r="AZ37" t="inlineStr">
        <is>
          <t>BOOK</t>
        </is>
      </c>
      <c r="BC37" t="inlineStr">
        <is>
          <t>32285002861937</t>
        </is>
      </c>
      <c r="BD37" t="inlineStr">
        <is>
          <t>893239294</t>
        </is>
      </c>
    </row>
    <row r="38">
      <c r="A38" t="inlineStr">
        <is>
          <t>No</t>
        </is>
      </c>
      <c r="B38" t="inlineStr">
        <is>
          <t>NA1353.B67 A4 2004</t>
        </is>
      </c>
      <c r="C38" t="inlineStr">
        <is>
          <t>0                      NA 1353000B  67                 A  4           2004</t>
        </is>
      </c>
      <c r="D38" t="inlineStr">
        <is>
          <t>Mario Botta : light and gravity : architecture, 1993-2003 / edited by Gabriele Cappellato ; with contributions by Mario Botta ... [et al. ; translated from the Italian by Catherine Bolton].</t>
        </is>
      </c>
      <c r="F38" t="inlineStr">
        <is>
          <t>No</t>
        </is>
      </c>
      <c r="G38" t="inlineStr">
        <is>
          <t>1</t>
        </is>
      </c>
      <c r="H38" t="inlineStr">
        <is>
          <t>No</t>
        </is>
      </c>
      <c r="I38" t="inlineStr">
        <is>
          <t>No</t>
        </is>
      </c>
      <c r="J38" t="inlineStr">
        <is>
          <t>0</t>
        </is>
      </c>
      <c r="K38" t="inlineStr">
        <is>
          <t>Botta, Mario, 1943-</t>
        </is>
      </c>
      <c r="L38" t="inlineStr">
        <is>
          <t>Munich ; London ; New York : Prestel, 2004.</t>
        </is>
      </c>
      <c r="M38" t="inlineStr">
        <is>
          <t>2004</t>
        </is>
      </c>
      <c r="O38" t="inlineStr">
        <is>
          <t>eng</t>
        </is>
      </c>
      <c r="P38" t="inlineStr">
        <is>
          <t xml:space="preserve">gw </t>
        </is>
      </c>
      <c r="R38" t="inlineStr">
        <is>
          <t xml:space="preserve">NA </t>
        </is>
      </c>
      <c r="S38" t="n">
        <v>1</v>
      </c>
      <c r="T38" t="n">
        <v>1</v>
      </c>
      <c r="U38" t="inlineStr">
        <is>
          <t>2006-07-25</t>
        </is>
      </c>
      <c r="V38" t="inlineStr">
        <is>
          <t>2006-07-25</t>
        </is>
      </c>
      <c r="W38" t="inlineStr">
        <is>
          <t>2006-07-25</t>
        </is>
      </c>
      <c r="X38" t="inlineStr">
        <is>
          <t>2006-07-25</t>
        </is>
      </c>
      <c r="Y38" t="n">
        <v>354</v>
      </c>
      <c r="Z38" t="n">
        <v>259</v>
      </c>
      <c r="AA38" t="n">
        <v>262</v>
      </c>
      <c r="AB38" t="n">
        <v>4</v>
      </c>
      <c r="AC38" t="n">
        <v>4</v>
      </c>
      <c r="AD38" t="n">
        <v>11</v>
      </c>
      <c r="AE38" t="n">
        <v>11</v>
      </c>
      <c r="AF38" t="n">
        <v>4</v>
      </c>
      <c r="AG38" t="n">
        <v>4</v>
      </c>
      <c r="AH38" t="n">
        <v>1</v>
      </c>
      <c r="AI38" t="n">
        <v>1</v>
      </c>
      <c r="AJ38" t="n">
        <v>6</v>
      </c>
      <c r="AK38" t="n">
        <v>6</v>
      </c>
      <c r="AL38" t="n">
        <v>3</v>
      </c>
      <c r="AM38" t="n">
        <v>3</v>
      </c>
      <c r="AN38" t="n">
        <v>0</v>
      </c>
      <c r="AO38" t="n">
        <v>0</v>
      </c>
      <c r="AP38" t="inlineStr">
        <is>
          <t>No</t>
        </is>
      </c>
      <c r="AQ38" t="inlineStr">
        <is>
          <t>No</t>
        </is>
      </c>
      <c r="AS38">
        <f>HYPERLINK("https://creighton-primo.hosted.exlibrisgroup.com/primo-explore/search?tab=default_tab&amp;search_scope=EVERYTHING&amp;vid=01CRU&amp;lang=en_US&amp;offset=0&amp;query=any,contains,991004853169702656","Catalog Record")</f>
        <v/>
      </c>
      <c r="AT38">
        <f>HYPERLINK("http://www.worldcat.org/oclc/56654928","WorldCat Record")</f>
        <v/>
      </c>
      <c r="AU38" t="inlineStr">
        <is>
          <t>145947587:eng</t>
        </is>
      </c>
      <c r="AV38" t="inlineStr">
        <is>
          <t>56654928</t>
        </is>
      </c>
      <c r="AW38" t="inlineStr">
        <is>
          <t>991004853169702656</t>
        </is>
      </c>
      <c r="AX38" t="inlineStr">
        <is>
          <t>991004853169702656</t>
        </is>
      </c>
      <c r="AY38" t="inlineStr">
        <is>
          <t>2255512810002656</t>
        </is>
      </c>
      <c r="AZ38" t="inlineStr">
        <is>
          <t>BOOK</t>
        </is>
      </c>
      <c r="BB38" t="inlineStr">
        <is>
          <t>9783791331867</t>
        </is>
      </c>
      <c r="BC38" t="inlineStr">
        <is>
          <t>32285005197883</t>
        </is>
      </c>
      <c r="BD38" t="inlineStr">
        <is>
          <t>893325875</t>
        </is>
      </c>
    </row>
    <row r="39">
      <c r="A39" t="inlineStr">
        <is>
          <t>No</t>
        </is>
      </c>
      <c r="B39" t="inlineStr">
        <is>
          <t>NA1460 .S613 1965</t>
        </is>
      </c>
      <c r="C39" t="inlineStr">
        <is>
          <t>0                      NA 1460000S  613         1965</t>
        </is>
      </c>
      <c r="D39" t="inlineStr">
        <is>
          <t>Oriental architecture in color : Islamic, Indian, far eastern / Werner Speiser ; [translated by Charles W.E. Kessler].</t>
        </is>
      </c>
      <c r="F39" t="inlineStr">
        <is>
          <t>No</t>
        </is>
      </c>
      <c r="G39" t="inlineStr">
        <is>
          <t>1</t>
        </is>
      </c>
      <c r="H39" t="inlineStr">
        <is>
          <t>No</t>
        </is>
      </c>
      <c r="I39" t="inlineStr">
        <is>
          <t>No</t>
        </is>
      </c>
      <c r="J39" t="inlineStr">
        <is>
          <t>0</t>
        </is>
      </c>
      <c r="K39" t="inlineStr">
        <is>
          <t>Speiser, Werner.</t>
        </is>
      </c>
      <c r="L39" t="inlineStr">
        <is>
          <t>New York : Viking Press, c1965.</t>
        </is>
      </c>
      <c r="M39" t="inlineStr">
        <is>
          <t>1965</t>
        </is>
      </c>
      <c r="O39" t="inlineStr">
        <is>
          <t>eng</t>
        </is>
      </c>
      <c r="P39" t="inlineStr">
        <is>
          <t>nyu</t>
        </is>
      </c>
      <c r="Q39" t="inlineStr">
        <is>
          <t>A Studio book</t>
        </is>
      </c>
      <c r="R39" t="inlineStr">
        <is>
          <t xml:space="preserve">NA </t>
        </is>
      </c>
      <c r="S39" t="n">
        <v>2</v>
      </c>
      <c r="T39" t="n">
        <v>2</v>
      </c>
      <c r="U39" t="inlineStr">
        <is>
          <t>2004-01-19</t>
        </is>
      </c>
      <c r="V39" t="inlineStr">
        <is>
          <t>2004-01-19</t>
        </is>
      </c>
      <c r="W39" t="inlineStr">
        <is>
          <t>1997-06-25</t>
        </is>
      </c>
      <c r="X39" t="inlineStr">
        <is>
          <t>1997-06-25</t>
        </is>
      </c>
      <c r="Y39" t="n">
        <v>394</v>
      </c>
      <c r="Z39" t="n">
        <v>374</v>
      </c>
      <c r="AA39" t="n">
        <v>438</v>
      </c>
      <c r="AB39" t="n">
        <v>6</v>
      </c>
      <c r="AC39" t="n">
        <v>6</v>
      </c>
      <c r="AD39" t="n">
        <v>16</v>
      </c>
      <c r="AE39" t="n">
        <v>16</v>
      </c>
      <c r="AF39" t="n">
        <v>7</v>
      </c>
      <c r="AG39" t="n">
        <v>7</v>
      </c>
      <c r="AH39" t="n">
        <v>2</v>
      </c>
      <c r="AI39" t="n">
        <v>2</v>
      </c>
      <c r="AJ39" t="n">
        <v>4</v>
      </c>
      <c r="AK39" t="n">
        <v>4</v>
      </c>
      <c r="AL39" t="n">
        <v>5</v>
      </c>
      <c r="AM39" t="n">
        <v>5</v>
      </c>
      <c r="AN39" t="n">
        <v>0</v>
      </c>
      <c r="AO39" t="n">
        <v>0</v>
      </c>
      <c r="AP39" t="inlineStr">
        <is>
          <t>No</t>
        </is>
      </c>
      <c r="AQ39" t="inlineStr">
        <is>
          <t>Yes</t>
        </is>
      </c>
      <c r="AR39">
        <f>HYPERLINK("http://catalog.hathitrust.org/Record/000563875","HathiTrust Record")</f>
        <v/>
      </c>
      <c r="AS39">
        <f>HYPERLINK("https://creighton-primo.hosted.exlibrisgroup.com/primo-explore/search?tab=default_tab&amp;search_scope=EVERYTHING&amp;vid=01CRU&amp;lang=en_US&amp;offset=0&amp;query=any,contains,991002746139702656","Catalog Record")</f>
        <v/>
      </c>
      <c r="AT39">
        <f>HYPERLINK("http://www.worldcat.org/oclc/422801","WorldCat Record")</f>
        <v/>
      </c>
      <c r="AU39" t="inlineStr">
        <is>
          <t>2261152610:eng</t>
        </is>
      </c>
      <c r="AV39" t="inlineStr">
        <is>
          <t>422801</t>
        </is>
      </c>
      <c r="AW39" t="inlineStr">
        <is>
          <t>991002746139702656</t>
        </is>
      </c>
      <c r="AX39" t="inlineStr">
        <is>
          <t>991002746139702656</t>
        </is>
      </c>
      <c r="AY39" t="inlineStr">
        <is>
          <t>2267038640002656</t>
        </is>
      </c>
      <c r="AZ39" t="inlineStr">
        <is>
          <t>BOOK</t>
        </is>
      </c>
      <c r="BC39" t="inlineStr">
        <is>
          <t>32285002753936</t>
        </is>
      </c>
      <c r="BD39" t="inlineStr">
        <is>
          <t>893710633</t>
        </is>
      </c>
    </row>
    <row r="40">
      <c r="A40" t="inlineStr">
        <is>
          <t>No</t>
        </is>
      </c>
      <c r="B40" t="inlineStr">
        <is>
          <t>NA1502 .N36</t>
        </is>
      </c>
      <c r="C40" t="inlineStr">
        <is>
          <t>0                      NA 1502000N  36</t>
        </is>
      </c>
      <c r="D40" t="inlineStr">
        <is>
          <t>Colour decoration in Mughal architecture [by] R. Nath.</t>
        </is>
      </c>
      <c r="F40" t="inlineStr">
        <is>
          <t>No</t>
        </is>
      </c>
      <c r="G40" t="inlineStr">
        <is>
          <t>1</t>
        </is>
      </c>
      <c r="H40" t="inlineStr">
        <is>
          <t>No</t>
        </is>
      </c>
      <c r="I40" t="inlineStr">
        <is>
          <t>No</t>
        </is>
      </c>
      <c r="J40" t="inlineStr">
        <is>
          <t>0</t>
        </is>
      </c>
      <c r="K40" t="inlineStr">
        <is>
          <t>Nath, R. (Ram), 1933-</t>
        </is>
      </c>
      <c r="L40" t="inlineStr">
        <is>
          <t>Bombay, D. B. Taraporevala Sons [1970]</t>
        </is>
      </c>
      <c r="M40" t="inlineStr">
        <is>
          <t>1970</t>
        </is>
      </c>
      <c r="O40" t="inlineStr">
        <is>
          <t>eng</t>
        </is>
      </c>
      <c r="P40" t="inlineStr">
        <is>
          <t xml:space="preserve">ii </t>
        </is>
      </c>
      <c r="R40" t="inlineStr">
        <is>
          <t xml:space="preserve">NA </t>
        </is>
      </c>
      <c r="S40" t="n">
        <v>4</v>
      </c>
      <c r="T40" t="n">
        <v>4</v>
      </c>
      <c r="U40" t="inlineStr">
        <is>
          <t>1999-09-30</t>
        </is>
      </c>
      <c r="V40" t="inlineStr">
        <is>
          <t>1999-09-30</t>
        </is>
      </c>
      <c r="W40" t="inlineStr">
        <is>
          <t>1997-07-01</t>
        </is>
      </c>
      <c r="X40" t="inlineStr">
        <is>
          <t>1997-07-01</t>
        </is>
      </c>
      <c r="Y40" t="n">
        <v>339</v>
      </c>
      <c r="Z40" t="n">
        <v>294</v>
      </c>
      <c r="AA40" t="n">
        <v>302</v>
      </c>
      <c r="AB40" t="n">
        <v>3</v>
      </c>
      <c r="AC40" t="n">
        <v>3</v>
      </c>
      <c r="AD40" t="n">
        <v>14</v>
      </c>
      <c r="AE40" t="n">
        <v>14</v>
      </c>
      <c r="AF40" t="n">
        <v>2</v>
      </c>
      <c r="AG40" t="n">
        <v>2</v>
      </c>
      <c r="AH40" t="n">
        <v>3</v>
      </c>
      <c r="AI40" t="n">
        <v>3</v>
      </c>
      <c r="AJ40" t="n">
        <v>9</v>
      </c>
      <c r="AK40" t="n">
        <v>9</v>
      </c>
      <c r="AL40" t="n">
        <v>2</v>
      </c>
      <c r="AM40" t="n">
        <v>2</v>
      </c>
      <c r="AN40" t="n">
        <v>0</v>
      </c>
      <c r="AO40" t="n">
        <v>0</v>
      </c>
      <c r="AP40" t="inlineStr">
        <is>
          <t>No</t>
        </is>
      </c>
      <c r="AQ40" t="inlineStr">
        <is>
          <t>Yes</t>
        </is>
      </c>
      <c r="AR40">
        <f>HYPERLINK("http://catalog.hathitrust.org/Record/000457365","HathiTrust Record")</f>
        <v/>
      </c>
      <c r="AS40">
        <f>HYPERLINK("https://creighton-primo.hosted.exlibrisgroup.com/primo-explore/search?tab=default_tab&amp;search_scope=EVERYTHING&amp;vid=01CRU&amp;lang=en_US&amp;offset=0&amp;query=any,contains,991000708239702656","Catalog Record")</f>
        <v/>
      </c>
      <c r="AT40">
        <f>HYPERLINK("http://www.worldcat.org/oclc/124626","WorldCat Record")</f>
        <v/>
      </c>
      <c r="AU40" t="inlineStr">
        <is>
          <t>690294882:eng</t>
        </is>
      </c>
      <c r="AV40" t="inlineStr">
        <is>
          <t>124626</t>
        </is>
      </c>
      <c r="AW40" t="inlineStr">
        <is>
          <t>991000708239702656</t>
        </is>
      </c>
      <c r="AX40" t="inlineStr">
        <is>
          <t>991000708239702656</t>
        </is>
      </c>
      <c r="AY40" t="inlineStr">
        <is>
          <t>2259868600002656</t>
        </is>
      </c>
      <c r="AZ40" t="inlineStr">
        <is>
          <t>BOOK</t>
        </is>
      </c>
      <c r="BC40" t="inlineStr">
        <is>
          <t>32285002861986</t>
        </is>
      </c>
      <c r="BD40" t="inlineStr">
        <is>
          <t>893620726</t>
        </is>
      </c>
    </row>
    <row r="41">
      <c r="A41" t="inlineStr">
        <is>
          <t>No</t>
        </is>
      </c>
      <c r="B41" t="inlineStr">
        <is>
          <t>NA1543 .W8</t>
        </is>
      </c>
      <c r="C41" t="inlineStr">
        <is>
          <t>0                      NA 1543000W  8</t>
        </is>
      </c>
      <c r="D41" t="inlineStr">
        <is>
          <t>Chinese and Indian architecture; the city of man, the Mountain of God, and the realm of the immortals, by Nelson I. Wu (Wu No-sun)</t>
        </is>
      </c>
      <c r="F41" t="inlineStr">
        <is>
          <t>No</t>
        </is>
      </c>
      <c r="G41" t="inlineStr">
        <is>
          <t>1</t>
        </is>
      </c>
      <c r="H41" t="inlineStr">
        <is>
          <t>No</t>
        </is>
      </c>
      <c r="I41" t="inlineStr">
        <is>
          <t>No</t>
        </is>
      </c>
      <c r="J41" t="inlineStr">
        <is>
          <t>0</t>
        </is>
      </c>
      <c r="K41" t="inlineStr">
        <is>
          <t>Wu, Nelson Ikon, 1919-2002.</t>
        </is>
      </c>
      <c r="L41" t="inlineStr">
        <is>
          <t>New York, G. Braziller, 1963.</t>
        </is>
      </c>
      <c r="M41" t="inlineStr">
        <is>
          <t>1963</t>
        </is>
      </c>
      <c r="O41" t="inlineStr">
        <is>
          <t>eng</t>
        </is>
      </c>
      <c r="P41" t="inlineStr">
        <is>
          <t>nyu</t>
        </is>
      </c>
      <c r="Q41" t="inlineStr">
        <is>
          <t>The Great ages of world architecture</t>
        </is>
      </c>
      <c r="R41" t="inlineStr">
        <is>
          <t xml:space="preserve">NA </t>
        </is>
      </c>
      <c r="S41" t="n">
        <v>2</v>
      </c>
      <c r="T41" t="n">
        <v>2</v>
      </c>
      <c r="U41" t="inlineStr">
        <is>
          <t>2005-05-01</t>
        </is>
      </c>
      <c r="V41" t="inlineStr">
        <is>
          <t>2005-05-01</t>
        </is>
      </c>
      <c r="W41" t="inlineStr">
        <is>
          <t>1997-07-01</t>
        </is>
      </c>
      <c r="X41" t="inlineStr">
        <is>
          <t>1997-07-01</t>
        </is>
      </c>
      <c r="Y41" t="n">
        <v>1095</v>
      </c>
      <c r="Z41" t="n">
        <v>982</v>
      </c>
      <c r="AA41" t="n">
        <v>1002</v>
      </c>
      <c r="AB41" t="n">
        <v>8</v>
      </c>
      <c r="AC41" t="n">
        <v>8</v>
      </c>
      <c r="AD41" t="n">
        <v>34</v>
      </c>
      <c r="AE41" t="n">
        <v>36</v>
      </c>
      <c r="AF41" t="n">
        <v>17</v>
      </c>
      <c r="AG41" t="n">
        <v>19</v>
      </c>
      <c r="AH41" t="n">
        <v>4</v>
      </c>
      <c r="AI41" t="n">
        <v>4</v>
      </c>
      <c r="AJ41" t="n">
        <v>14</v>
      </c>
      <c r="AK41" t="n">
        <v>14</v>
      </c>
      <c r="AL41" t="n">
        <v>6</v>
      </c>
      <c r="AM41" t="n">
        <v>6</v>
      </c>
      <c r="AN41" t="n">
        <v>0</v>
      </c>
      <c r="AO41" t="n">
        <v>0</v>
      </c>
      <c r="AP41" t="inlineStr">
        <is>
          <t>Yes</t>
        </is>
      </c>
      <c r="AQ41" t="inlineStr">
        <is>
          <t>No</t>
        </is>
      </c>
      <c r="AR41">
        <f>HYPERLINK("http://catalog.hathitrust.org/Record/000566299","HathiTrust Record")</f>
        <v/>
      </c>
      <c r="AS41">
        <f>HYPERLINK("https://creighton-primo.hosted.exlibrisgroup.com/primo-explore/search?tab=default_tab&amp;search_scope=EVERYTHING&amp;vid=01CRU&amp;lang=en_US&amp;offset=0&amp;query=any,contains,991002901189702656","Catalog Record")</f>
        <v/>
      </c>
      <c r="AT41">
        <f>HYPERLINK("http://www.worldcat.org/oclc/517340","WorldCat Record")</f>
        <v/>
      </c>
      <c r="AU41" t="inlineStr">
        <is>
          <t>66283032:eng</t>
        </is>
      </c>
      <c r="AV41" t="inlineStr">
        <is>
          <t>517340</t>
        </is>
      </c>
      <c r="AW41" t="inlineStr">
        <is>
          <t>991002901189702656</t>
        </is>
      </c>
      <c r="AX41" t="inlineStr">
        <is>
          <t>991002901189702656</t>
        </is>
      </c>
      <c r="AY41" t="inlineStr">
        <is>
          <t>2255100400002656</t>
        </is>
      </c>
      <c r="AZ41" t="inlineStr">
        <is>
          <t>BOOK</t>
        </is>
      </c>
      <c r="BC41" t="inlineStr">
        <is>
          <t>32285002861994</t>
        </is>
      </c>
      <c r="BD41" t="inlineStr">
        <is>
          <t>893428186</t>
        </is>
      </c>
    </row>
    <row r="42">
      <c r="A42" t="inlineStr">
        <is>
          <t>No</t>
        </is>
      </c>
      <c r="B42" t="inlineStr">
        <is>
          <t>NA1550 .A75</t>
        </is>
      </c>
      <c r="C42" t="inlineStr">
        <is>
          <t>0                      NA 1550000A  75</t>
        </is>
      </c>
      <c r="D42" t="inlineStr">
        <is>
          <t>Japanese architecture.</t>
        </is>
      </c>
      <c r="F42" t="inlineStr">
        <is>
          <t>No</t>
        </is>
      </c>
      <c r="G42" t="inlineStr">
        <is>
          <t>1</t>
        </is>
      </c>
      <c r="H42" t="inlineStr">
        <is>
          <t>No</t>
        </is>
      </c>
      <c r="I42" t="inlineStr">
        <is>
          <t>No</t>
        </is>
      </c>
      <c r="J42" t="inlineStr">
        <is>
          <t>0</t>
        </is>
      </c>
      <c r="K42" t="inlineStr">
        <is>
          <t>Alex, William.</t>
        </is>
      </c>
      <c r="L42" t="inlineStr">
        <is>
          <t>New York, G. Braziller, 1963.</t>
        </is>
      </c>
      <c r="M42" t="inlineStr">
        <is>
          <t>1963</t>
        </is>
      </c>
      <c r="O42" t="inlineStr">
        <is>
          <t>eng</t>
        </is>
      </c>
      <c r="P42" t="inlineStr">
        <is>
          <t>nyu</t>
        </is>
      </c>
      <c r="Q42" t="inlineStr">
        <is>
          <t>The Great ages of world architecture</t>
        </is>
      </c>
      <c r="R42" t="inlineStr">
        <is>
          <t xml:space="preserve">NA </t>
        </is>
      </c>
      <c r="S42" t="n">
        <v>1</v>
      </c>
      <c r="T42" t="n">
        <v>1</v>
      </c>
      <c r="U42" t="inlineStr">
        <is>
          <t>2005-05-01</t>
        </is>
      </c>
      <c r="V42" t="inlineStr">
        <is>
          <t>2005-05-01</t>
        </is>
      </c>
      <c r="W42" t="inlineStr">
        <is>
          <t>1997-07-01</t>
        </is>
      </c>
      <c r="X42" t="inlineStr">
        <is>
          <t>1997-07-01</t>
        </is>
      </c>
      <c r="Y42" t="n">
        <v>1041</v>
      </c>
      <c r="Z42" t="n">
        <v>954</v>
      </c>
      <c r="AA42" t="n">
        <v>986</v>
      </c>
      <c r="AB42" t="n">
        <v>6</v>
      </c>
      <c r="AC42" t="n">
        <v>6</v>
      </c>
      <c r="AD42" t="n">
        <v>32</v>
      </c>
      <c r="AE42" t="n">
        <v>33</v>
      </c>
      <c r="AF42" t="n">
        <v>17</v>
      </c>
      <c r="AG42" t="n">
        <v>18</v>
      </c>
      <c r="AH42" t="n">
        <v>4</v>
      </c>
      <c r="AI42" t="n">
        <v>4</v>
      </c>
      <c r="AJ42" t="n">
        <v>14</v>
      </c>
      <c r="AK42" t="n">
        <v>14</v>
      </c>
      <c r="AL42" t="n">
        <v>5</v>
      </c>
      <c r="AM42" t="n">
        <v>5</v>
      </c>
      <c r="AN42" t="n">
        <v>0</v>
      </c>
      <c r="AO42" t="n">
        <v>0</v>
      </c>
      <c r="AP42" t="inlineStr">
        <is>
          <t>Yes</t>
        </is>
      </c>
      <c r="AQ42" t="inlineStr">
        <is>
          <t>No</t>
        </is>
      </c>
      <c r="AR42">
        <f>HYPERLINK("http://catalog.hathitrust.org/Record/000562330","HathiTrust Record")</f>
        <v/>
      </c>
      <c r="AS42">
        <f>HYPERLINK("https://creighton-primo.hosted.exlibrisgroup.com/primo-explore/search?tab=default_tab&amp;search_scope=EVERYTHING&amp;vid=01CRU&amp;lang=en_US&amp;offset=0&amp;query=any,contains,991002901159702656","Catalog Record")</f>
        <v/>
      </c>
      <c r="AT42">
        <f>HYPERLINK("http://www.worldcat.org/oclc/517338","WorldCat Record")</f>
        <v/>
      </c>
      <c r="AU42" t="inlineStr">
        <is>
          <t>3943272187:eng</t>
        </is>
      </c>
      <c r="AV42" t="inlineStr">
        <is>
          <t>517338</t>
        </is>
      </c>
      <c r="AW42" t="inlineStr">
        <is>
          <t>991002901159702656</t>
        </is>
      </c>
      <c r="AX42" t="inlineStr">
        <is>
          <t>991002901159702656</t>
        </is>
      </c>
      <c r="AY42" t="inlineStr">
        <is>
          <t>2255119190002656</t>
        </is>
      </c>
      <c r="AZ42" t="inlineStr">
        <is>
          <t>BOOK</t>
        </is>
      </c>
      <c r="BC42" t="inlineStr">
        <is>
          <t>32285002862000</t>
        </is>
      </c>
      <c r="BD42" t="inlineStr">
        <is>
          <t>893245796</t>
        </is>
      </c>
    </row>
    <row r="43">
      <c r="A43" t="inlineStr">
        <is>
          <t>No</t>
        </is>
      </c>
      <c r="B43" t="inlineStr">
        <is>
          <t>NA1550 .F853</t>
        </is>
      </c>
      <c r="C43" t="inlineStr">
        <is>
          <t>0                      NA 1550000F  853</t>
        </is>
      </c>
      <c r="D43" t="inlineStr">
        <is>
          <t>The roots of Japanese architecture; a photographic quest. With text and commentaries by Teiji Itoh, and a foreword by Isamu Noguchi.</t>
        </is>
      </c>
      <c r="F43" t="inlineStr">
        <is>
          <t>No</t>
        </is>
      </c>
      <c r="G43" t="inlineStr">
        <is>
          <t>1</t>
        </is>
      </c>
      <c r="H43" t="inlineStr">
        <is>
          <t>No</t>
        </is>
      </c>
      <c r="I43" t="inlineStr">
        <is>
          <t>No</t>
        </is>
      </c>
      <c r="J43" t="inlineStr">
        <is>
          <t>0</t>
        </is>
      </c>
      <c r="K43" t="inlineStr">
        <is>
          <t>Futagawa, Yukio, 1932-2013.</t>
        </is>
      </c>
      <c r="L43" t="inlineStr">
        <is>
          <t>New York, Harper &amp; Row [1963]</t>
        </is>
      </c>
      <c r="M43" t="inlineStr">
        <is>
          <t>1963</t>
        </is>
      </c>
      <c r="N43" t="inlineStr">
        <is>
          <t>[1st ed.]</t>
        </is>
      </c>
      <c r="O43" t="inlineStr">
        <is>
          <t>eng</t>
        </is>
      </c>
      <c r="P43" t="inlineStr">
        <is>
          <t>nyu</t>
        </is>
      </c>
      <c r="R43" t="inlineStr">
        <is>
          <t xml:space="preserve">NA </t>
        </is>
      </c>
      <c r="S43" t="n">
        <v>1</v>
      </c>
      <c r="T43" t="n">
        <v>1</v>
      </c>
      <c r="U43" t="inlineStr">
        <is>
          <t>2005-05-01</t>
        </is>
      </c>
      <c r="V43" t="inlineStr">
        <is>
          <t>2005-05-01</t>
        </is>
      </c>
      <c r="W43" t="inlineStr">
        <is>
          <t>1997-07-01</t>
        </is>
      </c>
      <c r="X43" t="inlineStr">
        <is>
          <t>1997-07-01</t>
        </is>
      </c>
      <c r="Y43" t="n">
        <v>551</v>
      </c>
      <c r="Z43" t="n">
        <v>481</v>
      </c>
      <c r="AA43" t="n">
        <v>483</v>
      </c>
      <c r="AB43" t="n">
        <v>2</v>
      </c>
      <c r="AC43" t="n">
        <v>2</v>
      </c>
      <c r="AD43" t="n">
        <v>11</v>
      </c>
      <c r="AE43" t="n">
        <v>11</v>
      </c>
      <c r="AF43" t="n">
        <v>5</v>
      </c>
      <c r="AG43" t="n">
        <v>5</v>
      </c>
      <c r="AH43" t="n">
        <v>2</v>
      </c>
      <c r="AI43" t="n">
        <v>2</v>
      </c>
      <c r="AJ43" t="n">
        <v>6</v>
      </c>
      <c r="AK43" t="n">
        <v>6</v>
      </c>
      <c r="AL43" t="n">
        <v>1</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HYPERLINK("https://creighton-primo.hosted.exlibrisgroup.com/primo-explore/search?tab=default_tab&amp;search_scope=EVERYTHING&amp;vid=01CRU&amp;lang=en_US&amp;offset=0&amp;query=any,contains,991003520909702656","Catalog Record")</f>
        <v/>
      </c>
      <c r="AT43">
        <f>HYPERLINK("http://www.worldcat.org/oclc/1081456","WorldCat Record")</f>
        <v/>
      </c>
      <c r="AU43" t="inlineStr">
        <is>
          <t>307836170:eng</t>
        </is>
      </c>
      <c r="AV43" t="inlineStr">
        <is>
          <t>1081456</t>
        </is>
      </c>
      <c r="AW43" t="inlineStr">
        <is>
          <t>991003520909702656</t>
        </is>
      </c>
      <c r="AX43" t="inlineStr">
        <is>
          <t>991003520909702656</t>
        </is>
      </c>
      <c r="AY43" t="inlineStr">
        <is>
          <t>2266535080002656</t>
        </is>
      </c>
      <c r="AZ43" t="inlineStr">
        <is>
          <t>BOOK</t>
        </is>
      </c>
      <c r="BC43" t="inlineStr">
        <is>
          <t>32285002862018</t>
        </is>
      </c>
      <c r="BD43" t="inlineStr">
        <is>
          <t>893410365</t>
        </is>
      </c>
    </row>
    <row r="44">
      <c r="A44" t="inlineStr">
        <is>
          <t>No</t>
        </is>
      </c>
      <c r="B44" t="inlineStr">
        <is>
          <t>NA1550 .N4 1966</t>
        </is>
      </c>
      <c r="C44" t="inlineStr">
        <is>
          <t>0                      NA 1550000N  4           1966</t>
        </is>
      </c>
      <c r="D44" t="inlineStr">
        <is>
          <t>The architecture of Japan.</t>
        </is>
      </c>
      <c r="F44" t="inlineStr">
        <is>
          <t>No</t>
        </is>
      </c>
      <c r="G44" t="inlineStr">
        <is>
          <t>1</t>
        </is>
      </c>
      <c r="H44" t="inlineStr">
        <is>
          <t>No</t>
        </is>
      </c>
      <c r="I44" t="inlineStr">
        <is>
          <t>No</t>
        </is>
      </c>
      <c r="J44" t="inlineStr">
        <is>
          <t>0</t>
        </is>
      </c>
      <c r="K44" t="inlineStr">
        <is>
          <t>Museum of Modern Art (New York, N.Y.)</t>
        </is>
      </c>
      <c r="L44" t="inlineStr">
        <is>
          <t>[New York] Published for the Museum of Modern Art by Arno Press, 1966.</t>
        </is>
      </c>
      <c r="M44" t="inlineStr">
        <is>
          <t>1966</t>
        </is>
      </c>
      <c r="N44" t="inlineStr">
        <is>
          <t>Reprint ed.</t>
        </is>
      </c>
      <c r="O44" t="inlineStr">
        <is>
          <t>eng</t>
        </is>
      </c>
      <c r="P44" t="inlineStr">
        <is>
          <t xml:space="preserve">xx </t>
        </is>
      </c>
      <c r="R44" t="inlineStr">
        <is>
          <t xml:space="preserve">NA </t>
        </is>
      </c>
      <c r="S44" t="n">
        <v>2</v>
      </c>
      <c r="T44" t="n">
        <v>2</v>
      </c>
      <c r="U44" t="inlineStr">
        <is>
          <t>2005-05-01</t>
        </is>
      </c>
      <c r="V44" t="inlineStr">
        <is>
          <t>2005-05-01</t>
        </is>
      </c>
      <c r="W44" t="inlineStr">
        <is>
          <t>1997-09-10</t>
        </is>
      </c>
      <c r="X44" t="inlineStr">
        <is>
          <t>1997-09-10</t>
        </is>
      </c>
      <c r="Y44" t="n">
        <v>241</v>
      </c>
      <c r="Z44" t="n">
        <v>218</v>
      </c>
      <c r="AA44" t="n">
        <v>820</v>
      </c>
      <c r="AB44" t="n">
        <v>3</v>
      </c>
      <c r="AC44" t="n">
        <v>6</v>
      </c>
      <c r="AD44" t="n">
        <v>10</v>
      </c>
      <c r="AE44" t="n">
        <v>28</v>
      </c>
      <c r="AF44" t="n">
        <v>3</v>
      </c>
      <c r="AG44" t="n">
        <v>13</v>
      </c>
      <c r="AH44" t="n">
        <v>2</v>
      </c>
      <c r="AI44" t="n">
        <v>4</v>
      </c>
      <c r="AJ44" t="n">
        <v>3</v>
      </c>
      <c r="AK44" t="n">
        <v>10</v>
      </c>
      <c r="AL44" t="n">
        <v>2</v>
      </c>
      <c r="AM44" t="n">
        <v>4</v>
      </c>
      <c r="AN44" t="n">
        <v>0</v>
      </c>
      <c r="AO44" t="n">
        <v>0</v>
      </c>
      <c r="AP44" t="inlineStr">
        <is>
          <t>No</t>
        </is>
      </c>
      <c r="AQ44" t="inlineStr">
        <is>
          <t>Yes</t>
        </is>
      </c>
      <c r="AR44">
        <f>HYPERLINK("http://catalog.hathitrust.org/Record/004502199","HathiTrust Record")</f>
        <v/>
      </c>
      <c r="AS44">
        <f>HYPERLINK("https://creighton-primo.hosted.exlibrisgroup.com/primo-explore/search?tab=default_tab&amp;search_scope=EVERYTHING&amp;vid=01CRU&amp;lang=en_US&amp;offset=0&amp;query=any,contains,991003192259702656","Catalog Record")</f>
        <v/>
      </c>
      <c r="AT44">
        <f>HYPERLINK("http://www.worldcat.org/oclc/717422","WorldCat Record")</f>
        <v/>
      </c>
      <c r="AU44" t="inlineStr">
        <is>
          <t>20606436:eng</t>
        </is>
      </c>
      <c r="AV44" t="inlineStr">
        <is>
          <t>717422</t>
        </is>
      </c>
      <c r="AW44" t="inlineStr">
        <is>
          <t>991003192259702656</t>
        </is>
      </c>
      <c r="AX44" t="inlineStr">
        <is>
          <t>991003192259702656</t>
        </is>
      </c>
      <c r="AY44" t="inlineStr">
        <is>
          <t>2258812870002656</t>
        </is>
      </c>
      <c r="AZ44" t="inlineStr">
        <is>
          <t>BOOK</t>
        </is>
      </c>
      <c r="BC44" t="inlineStr">
        <is>
          <t>32285003170221</t>
        </is>
      </c>
      <c r="BD44" t="inlineStr">
        <is>
          <t>893598349</t>
        </is>
      </c>
    </row>
    <row r="45">
      <c r="A45" t="inlineStr">
        <is>
          <t>No</t>
        </is>
      </c>
      <c r="B45" t="inlineStr">
        <is>
          <t>NA1553 .N5713 1996</t>
        </is>
      </c>
      <c r="C45" t="inlineStr">
        <is>
          <t>0                      NA 1553000N  5713        1996</t>
        </is>
      </c>
      <c r="D45" t="inlineStr">
        <is>
          <t>What is Japanese architecture? / Kazuo Nishi and Kazuo Hozumi ; translated, adapted, and with an introduction by H. Mack Horton.</t>
        </is>
      </c>
      <c r="F45" t="inlineStr">
        <is>
          <t>No</t>
        </is>
      </c>
      <c r="G45" t="inlineStr">
        <is>
          <t>1</t>
        </is>
      </c>
      <c r="H45" t="inlineStr">
        <is>
          <t>No</t>
        </is>
      </c>
      <c r="I45" t="inlineStr">
        <is>
          <t>No</t>
        </is>
      </c>
      <c r="J45" t="inlineStr">
        <is>
          <t>0</t>
        </is>
      </c>
      <c r="K45" t="inlineStr">
        <is>
          <t>Nishi, Kazuo, 1938-2015.</t>
        </is>
      </c>
      <c r="L45" t="inlineStr">
        <is>
          <t>Tokyo ; New York : Kodansha International, 1996.</t>
        </is>
      </c>
      <c r="M45" t="inlineStr">
        <is>
          <t>1996</t>
        </is>
      </c>
      <c r="N45" t="inlineStr">
        <is>
          <t>1st pbk. ed.</t>
        </is>
      </c>
      <c r="O45" t="inlineStr">
        <is>
          <t>eng</t>
        </is>
      </c>
      <c r="P45" t="inlineStr">
        <is>
          <t xml:space="preserve">ja </t>
        </is>
      </c>
      <c r="R45" t="inlineStr">
        <is>
          <t xml:space="preserve">NA </t>
        </is>
      </c>
      <c r="S45" t="n">
        <v>1</v>
      </c>
      <c r="T45" t="n">
        <v>1</v>
      </c>
      <c r="U45" t="inlineStr">
        <is>
          <t>2005-04-09</t>
        </is>
      </c>
      <c r="V45" t="inlineStr">
        <is>
          <t>2005-04-09</t>
        </is>
      </c>
      <c r="W45" t="inlineStr">
        <is>
          <t>1998-12-01</t>
        </is>
      </c>
      <c r="X45" t="inlineStr">
        <is>
          <t>1998-12-01</t>
        </is>
      </c>
      <c r="Y45" t="n">
        <v>171</v>
      </c>
      <c r="Z45" t="n">
        <v>116</v>
      </c>
      <c r="AA45" t="n">
        <v>708</v>
      </c>
      <c r="AB45" t="n">
        <v>2</v>
      </c>
      <c r="AC45" t="n">
        <v>5</v>
      </c>
      <c r="AD45" t="n">
        <v>3</v>
      </c>
      <c r="AE45" t="n">
        <v>19</v>
      </c>
      <c r="AF45" t="n">
        <v>1</v>
      </c>
      <c r="AG45" t="n">
        <v>8</v>
      </c>
      <c r="AH45" t="n">
        <v>2</v>
      </c>
      <c r="AI45" t="n">
        <v>4</v>
      </c>
      <c r="AJ45" t="n">
        <v>1</v>
      </c>
      <c r="AK45" t="n">
        <v>9</v>
      </c>
      <c r="AL45" t="n">
        <v>0</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HYPERLINK("https://creighton-primo.hosted.exlibrisgroup.com/primo-explore/search?tab=default_tab&amp;search_scope=EVERYTHING&amp;vid=01CRU&amp;lang=en_US&amp;offset=0&amp;query=any,contains,991002651149702656","Catalog Record")</f>
        <v/>
      </c>
      <c r="AT45">
        <f>HYPERLINK("http://www.worldcat.org/oclc/34673692","WorldCat Record")</f>
        <v/>
      </c>
      <c r="AU45" t="inlineStr">
        <is>
          <t>5001669:eng</t>
        </is>
      </c>
      <c r="AV45" t="inlineStr">
        <is>
          <t>34673692</t>
        </is>
      </c>
      <c r="AW45" t="inlineStr">
        <is>
          <t>991002651149702656</t>
        </is>
      </c>
      <c r="AX45" t="inlineStr">
        <is>
          <t>991002651149702656</t>
        </is>
      </c>
      <c r="AY45" t="inlineStr">
        <is>
          <t>2266447280002656</t>
        </is>
      </c>
      <c r="AZ45" t="inlineStr">
        <is>
          <t>BOOK</t>
        </is>
      </c>
      <c r="BB45" t="inlineStr">
        <is>
          <t>9784770019929</t>
        </is>
      </c>
      <c r="BC45" t="inlineStr">
        <is>
          <t>32285003492492</t>
        </is>
      </c>
      <c r="BD45" t="inlineStr">
        <is>
          <t>893716723</t>
        </is>
      </c>
    </row>
    <row r="46">
      <c r="A46" t="inlineStr">
        <is>
          <t>No</t>
        </is>
      </c>
      <c r="B46" t="inlineStr">
        <is>
          <t>NA1554.5 .F56 1995</t>
        </is>
      </c>
      <c r="C46" t="inlineStr">
        <is>
          <t>0                      NA 1554500F  56          1995</t>
        </is>
      </c>
      <c r="D46" t="inlineStr">
        <is>
          <t>Meiji revisited : the sites of Victorian Japan / by Dallas Finn.</t>
        </is>
      </c>
      <c r="F46" t="inlineStr">
        <is>
          <t>No</t>
        </is>
      </c>
      <c r="G46" t="inlineStr">
        <is>
          <t>1</t>
        </is>
      </c>
      <c r="H46" t="inlineStr">
        <is>
          <t>No</t>
        </is>
      </c>
      <c r="I46" t="inlineStr">
        <is>
          <t>No</t>
        </is>
      </c>
      <c r="J46" t="inlineStr">
        <is>
          <t>0</t>
        </is>
      </c>
      <c r="K46" t="inlineStr">
        <is>
          <t>Finn, Dallas.</t>
        </is>
      </c>
      <c r="L46" t="inlineStr">
        <is>
          <t>New York : Weatherhill, 1995.</t>
        </is>
      </c>
      <c r="M46" t="inlineStr">
        <is>
          <t>1995</t>
        </is>
      </c>
      <c r="N46" t="inlineStr">
        <is>
          <t>1st ed.</t>
        </is>
      </c>
      <c r="O46" t="inlineStr">
        <is>
          <t>eng</t>
        </is>
      </c>
      <c r="P46" t="inlineStr">
        <is>
          <t>nyu</t>
        </is>
      </c>
      <c r="R46" t="inlineStr">
        <is>
          <t xml:space="preserve">NA </t>
        </is>
      </c>
      <c r="S46" t="n">
        <v>2</v>
      </c>
      <c r="T46" t="n">
        <v>2</v>
      </c>
      <c r="U46" t="inlineStr">
        <is>
          <t>2005-05-01</t>
        </is>
      </c>
      <c r="V46" t="inlineStr">
        <is>
          <t>2005-05-01</t>
        </is>
      </c>
      <c r="W46" t="inlineStr">
        <is>
          <t>2002-10-14</t>
        </is>
      </c>
      <c r="X46" t="inlineStr">
        <is>
          <t>2002-10-14</t>
        </is>
      </c>
      <c r="Y46" t="n">
        <v>277</v>
      </c>
      <c r="Z46" t="n">
        <v>211</v>
      </c>
      <c r="AA46" t="n">
        <v>214</v>
      </c>
      <c r="AB46" t="n">
        <v>1</v>
      </c>
      <c r="AC46" t="n">
        <v>1</v>
      </c>
      <c r="AD46" t="n">
        <v>9</v>
      </c>
      <c r="AE46" t="n">
        <v>9</v>
      </c>
      <c r="AF46" t="n">
        <v>2</v>
      </c>
      <c r="AG46" t="n">
        <v>2</v>
      </c>
      <c r="AH46" t="n">
        <v>3</v>
      </c>
      <c r="AI46" t="n">
        <v>3</v>
      </c>
      <c r="AJ46" t="n">
        <v>4</v>
      </c>
      <c r="AK46" t="n">
        <v>4</v>
      </c>
      <c r="AL46" t="n">
        <v>0</v>
      </c>
      <c r="AM46" t="n">
        <v>0</v>
      </c>
      <c r="AN46" t="n">
        <v>0</v>
      </c>
      <c r="AO46" t="n">
        <v>0</v>
      </c>
      <c r="AP46" t="inlineStr">
        <is>
          <t>No</t>
        </is>
      </c>
      <c r="AQ46" t="inlineStr">
        <is>
          <t>Yes</t>
        </is>
      </c>
      <c r="AR46">
        <f>HYPERLINK("http://catalog.hathitrust.org/Record/002976015","HathiTrust Record")</f>
        <v/>
      </c>
      <c r="AS46">
        <f>HYPERLINK("https://creighton-primo.hosted.exlibrisgroup.com/primo-explore/search?tab=default_tab&amp;search_scope=EVERYTHING&amp;vid=01CRU&amp;lang=en_US&amp;offset=0&amp;query=any,contains,991003912159702656","Catalog Record")</f>
        <v/>
      </c>
      <c r="AT46">
        <f>HYPERLINK("http://www.worldcat.org/oclc/30733510","WorldCat Record")</f>
        <v/>
      </c>
      <c r="AU46" t="inlineStr">
        <is>
          <t>33064635:eng</t>
        </is>
      </c>
      <c r="AV46" t="inlineStr">
        <is>
          <t>30733510</t>
        </is>
      </c>
      <c r="AW46" t="inlineStr">
        <is>
          <t>991003912159702656</t>
        </is>
      </c>
      <c r="AX46" t="inlineStr">
        <is>
          <t>991003912159702656</t>
        </is>
      </c>
      <c r="AY46" t="inlineStr">
        <is>
          <t>2265120230002656</t>
        </is>
      </c>
      <c r="AZ46" t="inlineStr">
        <is>
          <t>BOOK</t>
        </is>
      </c>
      <c r="BB46" t="inlineStr">
        <is>
          <t>9780834802889</t>
        </is>
      </c>
      <c r="BC46" t="inlineStr">
        <is>
          <t>32285004654546</t>
        </is>
      </c>
      <c r="BD46" t="inlineStr">
        <is>
          <t>893806421</t>
        </is>
      </c>
    </row>
    <row r="47">
      <c r="A47" t="inlineStr">
        <is>
          <t>No</t>
        </is>
      </c>
      <c r="B47" t="inlineStr">
        <is>
          <t>NA1555 .I813 1972</t>
        </is>
      </c>
      <c r="C47" t="inlineStr">
        <is>
          <t>0                      NA 1555000I  813         1972</t>
        </is>
      </c>
      <c r="D47" t="inlineStr">
        <is>
          <t>The classic tradition in Japanese architecture : modern versionsof the sukiya style / Text by Teiji Itoh. Photos. by Yukio Futagawa. Translated from the Japanese by Richard L. Gage.</t>
        </is>
      </c>
      <c r="F47" t="inlineStr">
        <is>
          <t>No</t>
        </is>
      </c>
      <c r="G47" t="inlineStr">
        <is>
          <t>1</t>
        </is>
      </c>
      <c r="H47" t="inlineStr">
        <is>
          <t>No</t>
        </is>
      </c>
      <c r="I47" t="inlineStr">
        <is>
          <t>No</t>
        </is>
      </c>
      <c r="J47" t="inlineStr">
        <is>
          <t>0</t>
        </is>
      </c>
      <c r="K47" t="inlineStr">
        <is>
          <t>Itō, Teiji, 1922-2010.</t>
        </is>
      </c>
      <c r="L47" t="inlineStr">
        <is>
          <t>New York : Weatherhill, 1972.</t>
        </is>
      </c>
      <c r="M47" t="inlineStr">
        <is>
          <t>1972</t>
        </is>
      </c>
      <c r="N47" t="inlineStr">
        <is>
          <t>[1st ed.]</t>
        </is>
      </c>
      <c r="O47" t="inlineStr">
        <is>
          <t>eng</t>
        </is>
      </c>
      <c r="P47" t="inlineStr">
        <is>
          <t>nyu</t>
        </is>
      </c>
      <c r="R47" t="inlineStr">
        <is>
          <t xml:space="preserve">NA </t>
        </is>
      </c>
      <c r="S47" t="n">
        <v>3</v>
      </c>
      <c r="T47" t="n">
        <v>3</v>
      </c>
      <c r="U47" t="inlineStr">
        <is>
          <t>1995-10-23</t>
        </is>
      </c>
      <c r="V47" t="inlineStr">
        <is>
          <t>1995-10-23</t>
        </is>
      </c>
      <c r="W47" t="inlineStr">
        <is>
          <t>1993-05-13</t>
        </is>
      </c>
      <c r="X47" t="inlineStr">
        <is>
          <t>1993-05-13</t>
        </is>
      </c>
      <c r="Y47" t="n">
        <v>503</v>
      </c>
      <c r="Z47" t="n">
        <v>388</v>
      </c>
      <c r="AA47" t="n">
        <v>389</v>
      </c>
      <c r="AB47" t="n">
        <v>2</v>
      </c>
      <c r="AC47" t="n">
        <v>2</v>
      </c>
      <c r="AD47" t="n">
        <v>11</v>
      </c>
      <c r="AE47" t="n">
        <v>11</v>
      </c>
      <c r="AF47" t="n">
        <v>6</v>
      </c>
      <c r="AG47" t="n">
        <v>6</v>
      </c>
      <c r="AH47" t="n">
        <v>2</v>
      </c>
      <c r="AI47" t="n">
        <v>2</v>
      </c>
      <c r="AJ47" t="n">
        <v>3</v>
      </c>
      <c r="AK47" t="n">
        <v>3</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HYPERLINK("https://creighton-primo.hosted.exlibrisgroup.com/primo-explore/search?tab=default_tab&amp;search_scope=EVERYTHING&amp;vid=01CRU&amp;lang=en_US&amp;offset=0&amp;query=any,contains,991002865599702656","Catalog Record")</f>
        <v/>
      </c>
      <c r="AT47">
        <f>HYPERLINK("http://www.worldcat.org/oclc/495383","WorldCat Record")</f>
        <v/>
      </c>
      <c r="AU47" t="inlineStr">
        <is>
          <t>118338774:eng</t>
        </is>
      </c>
      <c r="AV47" t="inlineStr">
        <is>
          <t>495383</t>
        </is>
      </c>
      <c r="AW47" t="inlineStr">
        <is>
          <t>991002865599702656</t>
        </is>
      </c>
      <c r="AX47" t="inlineStr">
        <is>
          <t>991002865599702656</t>
        </is>
      </c>
      <c r="AY47" t="inlineStr">
        <is>
          <t>2256808770002656</t>
        </is>
      </c>
      <c r="AZ47" t="inlineStr">
        <is>
          <t>BOOK</t>
        </is>
      </c>
      <c r="BB47" t="inlineStr">
        <is>
          <t>9780834815117</t>
        </is>
      </c>
      <c r="BC47" t="inlineStr">
        <is>
          <t>32285001654929</t>
        </is>
      </c>
      <c r="BD47" t="inlineStr">
        <is>
          <t>893793031</t>
        </is>
      </c>
    </row>
    <row r="48">
      <c r="A48" t="inlineStr">
        <is>
          <t>No</t>
        </is>
      </c>
      <c r="B48" t="inlineStr">
        <is>
          <t>NA1555 .N5513 1985</t>
        </is>
      </c>
      <c r="C48" t="inlineStr">
        <is>
          <t>0                      NA 1555000N  5513        1985</t>
        </is>
      </c>
      <c r="D48" t="inlineStr">
        <is>
          <t>Contemporary architecture of Japan 1958-1984 / [edited by] Hiroyuki Suzuki, Reyner Banham, Katsuhiro Kobayashi.</t>
        </is>
      </c>
      <c r="F48" t="inlineStr">
        <is>
          <t>No</t>
        </is>
      </c>
      <c r="G48" t="inlineStr">
        <is>
          <t>1</t>
        </is>
      </c>
      <c r="H48" t="inlineStr">
        <is>
          <t>No</t>
        </is>
      </c>
      <c r="I48" t="inlineStr">
        <is>
          <t>No</t>
        </is>
      </c>
      <c r="J48" t="inlineStr">
        <is>
          <t>0</t>
        </is>
      </c>
      <c r="K48" t="inlineStr">
        <is>
          <t>Nihon no gendai kenchiku. English.</t>
        </is>
      </c>
      <c r="L48" t="inlineStr">
        <is>
          <t>New York : Rizzoli, 1985.</t>
        </is>
      </c>
      <c r="M48" t="inlineStr">
        <is>
          <t>1985</t>
        </is>
      </c>
      <c r="O48" t="inlineStr">
        <is>
          <t>eng</t>
        </is>
      </c>
      <c r="P48" t="inlineStr">
        <is>
          <t>nyu</t>
        </is>
      </c>
      <c r="R48" t="inlineStr">
        <is>
          <t xml:space="preserve">NA </t>
        </is>
      </c>
      <c r="S48" t="n">
        <v>1</v>
      </c>
      <c r="T48" t="n">
        <v>1</v>
      </c>
      <c r="U48" t="inlineStr">
        <is>
          <t>1999-10-27</t>
        </is>
      </c>
      <c r="V48" t="inlineStr">
        <is>
          <t>1999-10-27</t>
        </is>
      </c>
      <c r="W48" t="inlineStr">
        <is>
          <t>1993-05-13</t>
        </is>
      </c>
      <c r="X48" t="inlineStr">
        <is>
          <t>1993-05-13</t>
        </is>
      </c>
      <c r="Y48" t="n">
        <v>401</v>
      </c>
      <c r="Z48" t="n">
        <v>347</v>
      </c>
      <c r="AA48" t="n">
        <v>350</v>
      </c>
      <c r="AB48" t="n">
        <v>3</v>
      </c>
      <c r="AC48" t="n">
        <v>3</v>
      </c>
      <c r="AD48" t="n">
        <v>7</v>
      </c>
      <c r="AE48" t="n">
        <v>7</v>
      </c>
      <c r="AF48" t="n">
        <v>1</v>
      </c>
      <c r="AG48" t="n">
        <v>1</v>
      </c>
      <c r="AH48" t="n">
        <v>1</v>
      </c>
      <c r="AI48" t="n">
        <v>1</v>
      </c>
      <c r="AJ48" t="n">
        <v>4</v>
      </c>
      <c r="AK48" t="n">
        <v>4</v>
      </c>
      <c r="AL48" t="n">
        <v>1</v>
      </c>
      <c r="AM48" t="n">
        <v>1</v>
      </c>
      <c r="AN48" t="n">
        <v>0</v>
      </c>
      <c r="AO48" t="n">
        <v>0</v>
      </c>
      <c r="AP48" t="inlineStr">
        <is>
          <t>No</t>
        </is>
      </c>
      <c r="AQ48" t="inlineStr">
        <is>
          <t>Yes</t>
        </is>
      </c>
      <c r="AR48">
        <f>HYPERLINK("http://catalog.hathitrust.org/Record/000579741","HathiTrust Record")</f>
        <v/>
      </c>
      <c r="AS48">
        <f>HYPERLINK("https://creighton-primo.hosted.exlibrisgroup.com/primo-explore/search?tab=default_tab&amp;search_scope=EVERYTHING&amp;vid=01CRU&amp;lang=en_US&amp;offset=0&amp;query=any,contains,991000632579702656","Catalog Record")</f>
        <v/>
      </c>
      <c r="AT48">
        <f>HYPERLINK("http://www.worldcat.org/oclc/12053759","WorldCat Record")</f>
        <v/>
      </c>
      <c r="AU48" t="inlineStr">
        <is>
          <t>4397392:eng</t>
        </is>
      </c>
      <c r="AV48" t="inlineStr">
        <is>
          <t>12053759</t>
        </is>
      </c>
      <c r="AW48" t="inlineStr">
        <is>
          <t>991000632579702656</t>
        </is>
      </c>
      <c r="AX48" t="inlineStr">
        <is>
          <t>991000632579702656</t>
        </is>
      </c>
      <c r="AY48" t="inlineStr">
        <is>
          <t>2261454120002656</t>
        </is>
      </c>
      <c r="AZ48" t="inlineStr">
        <is>
          <t>BOOK</t>
        </is>
      </c>
      <c r="BB48" t="inlineStr">
        <is>
          <t>9780847806492</t>
        </is>
      </c>
      <c r="BC48" t="inlineStr">
        <is>
          <t>32285001654937</t>
        </is>
      </c>
      <c r="BD48" t="inlineStr">
        <is>
          <t>893438451</t>
        </is>
      </c>
    </row>
    <row r="49">
      <c r="A49" t="inlineStr">
        <is>
          <t>No</t>
        </is>
      </c>
      <c r="B49" t="inlineStr">
        <is>
          <t>NA1557.T6 A84 1989</t>
        </is>
      </c>
      <c r="C49" t="inlineStr">
        <is>
          <t>0                      NA 1557000T  6                  A  84          1989</t>
        </is>
      </c>
      <c r="D49" t="inlineStr">
        <is>
          <t>The hidden order : Tokyo through the twentieth century / Yoshinobu Ashihara ; translated and adapted by Lynne E. Riggs ; introduction by Daniel J. Boorstin ; foreword by Edward T. Hall.</t>
        </is>
      </c>
      <c r="F49" t="inlineStr">
        <is>
          <t>No</t>
        </is>
      </c>
      <c r="G49" t="inlineStr">
        <is>
          <t>1</t>
        </is>
      </c>
      <c r="H49" t="inlineStr">
        <is>
          <t>No</t>
        </is>
      </c>
      <c r="I49" t="inlineStr">
        <is>
          <t>No</t>
        </is>
      </c>
      <c r="J49" t="inlineStr">
        <is>
          <t>0</t>
        </is>
      </c>
      <c r="K49" t="inlineStr">
        <is>
          <t>Ashihara, Yoshinobu, 1918-2003.</t>
        </is>
      </c>
      <c r="L49" t="inlineStr">
        <is>
          <t>Tokyo ; New York : Kodansha International, c1989.</t>
        </is>
      </c>
      <c r="M49" t="inlineStr">
        <is>
          <t>1989</t>
        </is>
      </c>
      <c r="N49" t="inlineStr">
        <is>
          <t>1st ed.</t>
        </is>
      </c>
      <c r="O49" t="inlineStr">
        <is>
          <t>eng</t>
        </is>
      </c>
      <c r="P49" t="inlineStr">
        <is>
          <t xml:space="preserve">ja </t>
        </is>
      </c>
      <c r="R49" t="inlineStr">
        <is>
          <t xml:space="preserve">NA </t>
        </is>
      </c>
      <c r="S49" t="n">
        <v>1</v>
      </c>
      <c r="T49" t="n">
        <v>1</v>
      </c>
      <c r="U49" t="inlineStr">
        <is>
          <t>2002-11-19</t>
        </is>
      </c>
      <c r="V49" t="inlineStr">
        <is>
          <t>2002-11-19</t>
        </is>
      </c>
      <c r="W49" t="inlineStr">
        <is>
          <t>2002-11-19</t>
        </is>
      </c>
      <c r="X49" t="inlineStr">
        <is>
          <t>2002-11-19</t>
        </is>
      </c>
      <c r="Y49" t="n">
        <v>352</v>
      </c>
      <c r="Z49" t="n">
        <v>266</v>
      </c>
      <c r="AA49" t="n">
        <v>288</v>
      </c>
      <c r="AB49" t="n">
        <v>4</v>
      </c>
      <c r="AC49" t="n">
        <v>4</v>
      </c>
      <c r="AD49" t="n">
        <v>15</v>
      </c>
      <c r="AE49" t="n">
        <v>15</v>
      </c>
      <c r="AF49" t="n">
        <v>4</v>
      </c>
      <c r="AG49" t="n">
        <v>4</v>
      </c>
      <c r="AH49" t="n">
        <v>4</v>
      </c>
      <c r="AI49" t="n">
        <v>4</v>
      </c>
      <c r="AJ49" t="n">
        <v>7</v>
      </c>
      <c r="AK49" t="n">
        <v>7</v>
      </c>
      <c r="AL49" t="n">
        <v>3</v>
      </c>
      <c r="AM49" t="n">
        <v>3</v>
      </c>
      <c r="AN49" t="n">
        <v>0</v>
      </c>
      <c r="AO49" t="n">
        <v>0</v>
      </c>
      <c r="AP49" t="inlineStr">
        <is>
          <t>No</t>
        </is>
      </c>
      <c r="AQ49" t="inlineStr">
        <is>
          <t>Yes</t>
        </is>
      </c>
      <c r="AR49">
        <f>HYPERLINK("http://catalog.hathitrust.org/Record/002646458","HathiTrust Record")</f>
        <v/>
      </c>
      <c r="AS49">
        <f>HYPERLINK("https://creighton-primo.hosted.exlibrisgroup.com/primo-explore/search?tab=default_tab&amp;search_scope=EVERYTHING&amp;vid=01CRU&amp;lang=en_US&amp;offset=0&amp;query=any,contains,991003946779702656","Catalog Record")</f>
        <v/>
      </c>
      <c r="AT49">
        <f>HYPERLINK("http://www.worldcat.org/oclc/18987230","WorldCat Record")</f>
        <v/>
      </c>
      <c r="AU49" t="inlineStr">
        <is>
          <t>1151354235:eng</t>
        </is>
      </c>
      <c r="AV49" t="inlineStr">
        <is>
          <t>18987230</t>
        </is>
      </c>
      <c r="AW49" t="inlineStr">
        <is>
          <t>991003946779702656</t>
        </is>
      </c>
      <c r="AX49" t="inlineStr">
        <is>
          <t>991003946779702656</t>
        </is>
      </c>
      <c r="AY49" t="inlineStr">
        <is>
          <t>2266610790002656</t>
        </is>
      </c>
      <c r="AZ49" t="inlineStr">
        <is>
          <t>BOOK</t>
        </is>
      </c>
      <c r="BB49" t="inlineStr">
        <is>
          <t>9780870119125</t>
        </is>
      </c>
      <c r="BC49" t="inlineStr">
        <is>
          <t>32285004664826</t>
        </is>
      </c>
      <c r="BD49" t="inlineStr">
        <is>
          <t>893788101</t>
        </is>
      </c>
    </row>
    <row r="50">
      <c r="A50" t="inlineStr">
        <is>
          <t>No</t>
        </is>
      </c>
      <c r="B50" t="inlineStr">
        <is>
          <t>NA1995 .S27 1983</t>
        </is>
      </c>
      <c r="C50" t="inlineStr">
        <is>
          <t>0                      NA 1995000S  27          1983</t>
        </is>
      </c>
      <c r="D50" t="inlineStr">
        <is>
          <t>The image of the architect / Andrew Saint.</t>
        </is>
      </c>
      <c r="F50" t="inlineStr">
        <is>
          <t>No</t>
        </is>
      </c>
      <c r="G50" t="inlineStr">
        <is>
          <t>1</t>
        </is>
      </c>
      <c r="H50" t="inlineStr">
        <is>
          <t>No</t>
        </is>
      </c>
      <c r="I50" t="inlineStr">
        <is>
          <t>No</t>
        </is>
      </c>
      <c r="J50" t="inlineStr">
        <is>
          <t>0</t>
        </is>
      </c>
      <c r="K50" t="inlineStr">
        <is>
          <t>Saint, Andrew.</t>
        </is>
      </c>
      <c r="L50" t="inlineStr">
        <is>
          <t>New Haven : Yale University Press, 1983.</t>
        </is>
      </c>
      <c r="M50" t="inlineStr">
        <is>
          <t>1983</t>
        </is>
      </c>
      <c r="O50" t="inlineStr">
        <is>
          <t>eng</t>
        </is>
      </c>
      <c r="P50" t="inlineStr">
        <is>
          <t>ctu</t>
        </is>
      </c>
      <c r="R50" t="inlineStr">
        <is>
          <t xml:space="preserve">NA </t>
        </is>
      </c>
      <c r="S50" t="n">
        <v>1</v>
      </c>
      <c r="T50" t="n">
        <v>1</v>
      </c>
      <c r="U50" t="inlineStr">
        <is>
          <t>2004-09-16</t>
        </is>
      </c>
      <c r="V50" t="inlineStr">
        <is>
          <t>2004-09-16</t>
        </is>
      </c>
      <c r="W50" t="inlineStr">
        <is>
          <t>1993-05-14</t>
        </is>
      </c>
      <c r="X50" t="inlineStr">
        <is>
          <t>1993-05-14</t>
        </is>
      </c>
      <c r="Y50" t="n">
        <v>617</v>
      </c>
      <c r="Z50" t="n">
        <v>442</v>
      </c>
      <c r="AA50" t="n">
        <v>610</v>
      </c>
      <c r="AB50" t="n">
        <v>3</v>
      </c>
      <c r="AC50" t="n">
        <v>3</v>
      </c>
      <c r="AD50" t="n">
        <v>15</v>
      </c>
      <c r="AE50" t="n">
        <v>23</v>
      </c>
      <c r="AF50" t="n">
        <v>6</v>
      </c>
      <c r="AG50" t="n">
        <v>10</v>
      </c>
      <c r="AH50" t="n">
        <v>4</v>
      </c>
      <c r="AI50" t="n">
        <v>7</v>
      </c>
      <c r="AJ50" t="n">
        <v>8</v>
      </c>
      <c r="AK50" t="n">
        <v>12</v>
      </c>
      <c r="AL50" t="n">
        <v>2</v>
      </c>
      <c r="AM50" t="n">
        <v>2</v>
      </c>
      <c r="AN50" t="n">
        <v>0</v>
      </c>
      <c r="AO50" t="n">
        <v>0</v>
      </c>
      <c r="AP50" t="inlineStr">
        <is>
          <t>No</t>
        </is>
      </c>
      <c r="AQ50" t="inlineStr">
        <is>
          <t>No</t>
        </is>
      </c>
      <c r="AS50">
        <f>HYPERLINK("https://creighton-primo.hosted.exlibrisgroup.com/primo-explore/search?tab=default_tab&amp;search_scope=EVERYTHING&amp;vid=01CRU&amp;lang=en_US&amp;offset=0&amp;query=any,contains,991000122919702656","Catalog Record")</f>
        <v/>
      </c>
      <c r="AT50">
        <f>HYPERLINK("http://www.worldcat.org/oclc/9081015","WorldCat Record")</f>
        <v/>
      </c>
      <c r="AU50" t="inlineStr">
        <is>
          <t>5759428:eng</t>
        </is>
      </c>
      <c r="AV50" t="inlineStr">
        <is>
          <t>9081015</t>
        </is>
      </c>
      <c r="AW50" t="inlineStr">
        <is>
          <t>991000122919702656</t>
        </is>
      </c>
      <c r="AX50" t="inlineStr">
        <is>
          <t>991000122919702656</t>
        </is>
      </c>
      <c r="AY50" t="inlineStr">
        <is>
          <t>2257018530002656</t>
        </is>
      </c>
      <c r="AZ50" t="inlineStr">
        <is>
          <t>BOOK</t>
        </is>
      </c>
      <c r="BB50" t="inlineStr">
        <is>
          <t>9780300030136</t>
        </is>
      </c>
      <c r="BC50" t="inlineStr">
        <is>
          <t>32285001654960</t>
        </is>
      </c>
      <c r="BD50" t="inlineStr">
        <is>
          <t>893521417</t>
        </is>
      </c>
    </row>
    <row r="51">
      <c r="A51" t="inlineStr">
        <is>
          <t>No</t>
        </is>
      </c>
      <c r="B51" t="inlineStr">
        <is>
          <t>NA200 .A46 1970</t>
        </is>
      </c>
      <c r="C51" t="inlineStr">
        <is>
          <t>0                      NA 0200000A  46          1970</t>
        </is>
      </c>
      <c r="D51" t="inlineStr">
        <is>
          <t>The study of architectural history / Bruce Allsopp.</t>
        </is>
      </c>
      <c r="F51" t="inlineStr">
        <is>
          <t>No</t>
        </is>
      </c>
      <c r="G51" t="inlineStr">
        <is>
          <t>1</t>
        </is>
      </c>
      <c r="H51" t="inlineStr">
        <is>
          <t>No</t>
        </is>
      </c>
      <c r="I51" t="inlineStr">
        <is>
          <t>No</t>
        </is>
      </c>
      <c r="J51" t="inlineStr">
        <is>
          <t>0</t>
        </is>
      </c>
      <c r="K51" t="inlineStr">
        <is>
          <t>Allsopp, Bruce.</t>
        </is>
      </c>
      <c r="L51" t="inlineStr">
        <is>
          <t>[New York] : Praeger, [1970]</t>
        </is>
      </c>
      <c r="M51" t="inlineStr">
        <is>
          <t>1970</t>
        </is>
      </c>
      <c r="O51" t="inlineStr">
        <is>
          <t>eng</t>
        </is>
      </c>
      <c r="P51" t="inlineStr">
        <is>
          <t>nyu</t>
        </is>
      </c>
      <c r="R51" t="inlineStr">
        <is>
          <t xml:space="preserve">NA </t>
        </is>
      </c>
      <c r="S51" t="n">
        <v>1</v>
      </c>
      <c r="T51" t="n">
        <v>1</v>
      </c>
      <c r="U51" t="inlineStr">
        <is>
          <t>2004-11-18</t>
        </is>
      </c>
      <c r="V51" t="inlineStr">
        <is>
          <t>2004-11-18</t>
        </is>
      </c>
      <c r="W51" t="inlineStr">
        <is>
          <t>2004-11-18</t>
        </is>
      </c>
      <c r="X51" t="inlineStr">
        <is>
          <t>2004-11-18</t>
        </is>
      </c>
      <c r="Y51" t="n">
        <v>390</v>
      </c>
      <c r="Z51" t="n">
        <v>369</v>
      </c>
      <c r="AA51" t="n">
        <v>388</v>
      </c>
      <c r="AB51" t="n">
        <v>1</v>
      </c>
      <c r="AC51" t="n">
        <v>1</v>
      </c>
      <c r="AD51" t="n">
        <v>15</v>
      </c>
      <c r="AE51" t="n">
        <v>15</v>
      </c>
      <c r="AF51" t="n">
        <v>3</v>
      </c>
      <c r="AG51" t="n">
        <v>3</v>
      </c>
      <c r="AH51" t="n">
        <v>4</v>
      </c>
      <c r="AI51" t="n">
        <v>4</v>
      </c>
      <c r="AJ51" t="n">
        <v>11</v>
      </c>
      <c r="AK51" t="n">
        <v>11</v>
      </c>
      <c r="AL51" t="n">
        <v>0</v>
      </c>
      <c r="AM51" t="n">
        <v>0</v>
      </c>
      <c r="AN51" t="n">
        <v>0</v>
      </c>
      <c r="AO51" t="n">
        <v>0</v>
      </c>
      <c r="AP51" t="inlineStr">
        <is>
          <t>No</t>
        </is>
      </c>
      <c r="AQ51" t="inlineStr">
        <is>
          <t>Yes</t>
        </is>
      </c>
      <c r="AR51">
        <f>HYPERLINK("http://catalog.hathitrust.org/Record/000408812","HathiTrust Record")</f>
        <v/>
      </c>
      <c r="AS51">
        <f>HYPERLINK("https://creighton-primo.hosted.exlibrisgroup.com/primo-explore/search?tab=default_tab&amp;search_scope=EVERYTHING&amp;vid=01CRU&amp;lang=en_US&amp;offset=0&amp;query=any,contains,991004425529702656","Catalog Record")</f>
        <v/>
      </c>
      <c r="AT51">
        <f>HYPERLINK("http://www.worldcat.org/oclc/502134","WorldCat Record")</f>
        <v/>
      </c>
      <c r="AU51" t="inlineStr">
        <is>
          <t>1281813:eng</t>
        </is>
      </c>
      <c r="AV51" t="inlineStr">
        <is>
          <t>502134</t>
        </is>
      </c>
      <c r="AW51" t="inlineStr">
        <is>
          <t>991004425529702656</t>
        </is>
      </c>
      <c r="AX51" t="inlineStr">
        <is>
          <t>991004425529702656</t>
        </is>
      </c>
      <c r="AY51" t="inlineStr">
        <is>
          <t>2263986450002656</t>
        </is>
      </c>
      <c r="AZ51" t="inlineStr">
        <is>
          <t>BOOK</t>
        </is>
      </c>
      <c r="BB51" t="inlineStr">
        <is>
          <t>9780289700624</t>
        </is>
      </c>
      <c r="BC51" t="inlineStr">
        <is>
          <t>32285005011811</t>
        </is>
      </c>
      <c r="BD51" t="inlineStr">
        <is>
          <t>893882465</t>
        </is>
      </c>
    </row>
    <row r="52">
      <c r="A52" t="inlineStr">
        <is>
          <t>No</t>
        </is>
      </c>
      <c r="B52" t="inlineStr">
        <is>
          <t>NA200 .B15</t>
        </is>
      </c>
      <c r="C52" t="inlineStr">
        <is>
          <t>0                      NA 0200000B  15</t>
        </is>
      </c>
      <c r="D52" t="inlineStr">
        <is>
          <t>Architecture and interior design : a basic history through the seventeenth century / Victoria Kloss Ball.</t>
        </is>
      </c>
      <c r="F52" t="inlineStr">
        <is>
          <t>No</t>
        </is>
      </c>
      <c r="G52" t="inlineStr">
        <is>
          <t>1</t>
        </is>
      </c>
      <c r="H52" t="inlineStr">
        <is>
          <t>No</t>
        </is>
      </c>
      <c r="I52" t="inlineStr">
        <is>
          <t>Yes</t>
        </is>
      </c>
      <c r="J52" t="inlineStr">
        <is>
          <t>0</t>
        </is>
      </c>
      <c r="K52" t="inlineStr">
        <is>
          <t>Ball, Victoria Kloss.</t>
        </is>
      </c>
      <c r="L52" t="inlineStr">
        <is>
          <t>New York : Wiley, c1980.</t>
        </is>
      </c>
      <c r="M52" t="inlineStr">
        <is>
          <t>1980</t>
        </is>
      </c>
      <c r="O52" t="inlineStr">
        <is>
          <t>eng</t>
        </is>
      </c>
      <c r="P52" t="inlineStr">
        <is>
          <t>nyu</t>
        </is>
      </c>
      <c r="R52" t="inlineStr">
        <is>
          <t xml:space="preserve">NA </t>
        </is>
      </c>
      <c r="S52" t="n">
        <v>4</v>
      </c>
      <c r="T52" t="n">
        <v>4</v>
      </c>
      <c r="U52" t="inlineStr">
        <is>
          <t>1999-07-19</t>
        </is>
      </c>
      <c r="V52" t="inlineStr">
        <is>
          <t>1999-07-19</t>
        </is>
      </c>
      <c r="W52" t="inlineStr">
        <is>
          <t>1992-03-17</t>
        </is>
      </c>
      <c r="X52" t="inlineStr">
        <is>
          <t>1992-03-17</t>
        </is>
      </c>
      <c r="Y52" t="n">
        <v>585</v>
      </c>
      <c r="Z52" t="n">
        <v>498</v>
      </c>
      <c r="AA52" t="n">
        <v>646</v>
      </c>
      <c r="AB52" t="n">
        <v>2</v>
      </c>
      <c r="AC52" t="n">
        <v>3</v>
      </c>
      <c r="AD52" t="n">
        <v>17</v>
      </c>
      <c r="AE52" t="n">
        <v>21</v>
      </c>
      <c r="AF52" t="n">
        <v>9</v>
      </c>
      <c r="AG52" t="n">
        <v>9</v>
      </c>
      <c r="AH52" t="n">
        <v>3</v>
      </c>
      <c r="AI52" t="n">
        <v>6</v>
      </c>
      <c r="AJ52" t="n">
        <v>6</v>
      </c>
      <c r="AK52" t="n">
        <v>7</v>
      </c>
      <c r="AL52" t="n">
        <v>1</v>
      </c>
      <c r="AM52" t="n">
        <v>2</v>
      </c>
      <c r="AN52" t="n">
        <v>0</v>
      </c>
      <c r="AO52" t="n">
        <v>0</v>
      </c>
      <c r="AP52" t="inlineStr">
        <is>
          <t>No</t>
        </is>
      </c>
      <c r="AQ52" t="inlineStr">
        <is>
          <t>Yes</t>
        </is>
      </c>
      <c r="AR52">
        <f>HYPERLINK("http://catalog.hathitrust.org/Record/000695876","HathiTrust Record")</f>
        <v/>
      </c>
      <c r="AS52">
        <f>HYPERLINK("https://creighton-primo.hosted.exlibrisgroup.com/primo-explore/search?tab=default_tab&amp;search_scope=EVERYTHING&amp;vid=01CRU&amp;lang=en_US&amp;offset=0&amp;query=any,contains,991004830939702656","Catalog Record")</f>
        <v/>
      </c>
      <c r="AT52">
        <f>HYPERLINK("http://www.worldcat.org/oclc/5410526","WorldCat Record")</f>
        <v/>
      </c>
      <c r="AU52" t="inlineStr">
        <is>
          <t>488771:eng</t>
        </is>
      </c>
      <c r="AV52" t="inlineStr">
        <is>
          <t>5410526</t>
        </is>
      </c>
      <c r="AW52" t="inlineStr">
        <is>
          <t>991004830939702656</t>
        </is>
      </c>
      <c r="AX52" t="inlineStr">
        <is>
          <t>991004830939702656</t>
        </is>
      </c>
      <c r="AY52" t="inlineStr">
        <is>
          <t>2260609210002656</t>
        </is>
      </c>
      <c r="AZ52" t="inlineStr">
        <is>
          <t>BOOK</t>
        </is>
      </c>
      <c r="BB52" t="inlineStr">
        <is>
          <t>9780471051626</t>
        </is>
      </c>
      <c r="BC52" t="inlineStr">
        <is>
          <t>32285001023661</t>
        </is>
      </c>
      <c r="BD52" t="inlineStr">
        <is>
          <t>893895539</t>
        </is>
      </c>
    </row>
    <row r="53">
      <c r="A53" t="inlineStr">
        <is>
          <t>No</t>
        </is>
      </c>
      <c r="B53" t="inlineStr">
        <is>
          <t>NA200 .B85 1926</t>
        </is>
      </c>
      <c r="C53" t="inlineStr">
        <is>
          <t>0                      NA 0200000B  85          1926</t>
        </is>
      </c>
      <c r="D53" t="inlineStr">
        <is>
          <t>Architecture and the allied arts : Greek, Roman, Byzantine, Romanesque and Gothic / by Alfred Mansfield Brooks.</t>
        </is>
      </c>
      <c r="F53" t="inlineStr">
        <is>
          <t>No</t>
        </is>
      </c>
      <c r="G53" t="inlineStr">
        <is>
          <t>1</t>
        </is>
      </c>
      <c r="H53" t="inlineStr">
        <is>
          <t>No</t>
        </is>
      </c>
      <c r="I53" t="inlineStr">
        <is>
          <t>No</t>
        </is>
      </c>
      <c r="J53" t="inlineStr">
        <is>
          <t>0</t>
        </is>
      </c>
      <c r="K53" t="inlineStr">
        <is>
          <t>Brooks, Alfred Mansfield, 1870-1963.</t>
        </is>
      </c>
      <c r="L53" t="inlineStr">
        <is>
          <t>Indianapolis : Bobbs-Merrill, c1926.</t>
        </is>
      </c>
      <c r="M53" t="inlineStr">
        <is>
          <t>1926</t>
        </is>
      </c>
      <c r="O53" t="inlineStr">
        <is>
          <t>eng</t>
        </is>
      </c>
      <c r="P53" t="inlineStr">
        <is>
          <t>inu</t>
        </is>
      </c>
      <c r="R53" t="inlineStr">
        <is>
          <t xml:space="preserve">NA </t>
        </is>
      </c>
      <c r="S53" t="n">
        <v>4</v>
      </c>
      <c r="T53" t="n">
        <v>4</v>
      </c>
      <c r="U53" t="inlineStr">
        <is>
          <t>1998-09-20</t>
        </is>
      </c>
      <c r="V53" t="inlineStr">
        <is>
          <t>1998-09-20</t>
        </is>
      </c>
      <c r="W53" t="inlineStr">
        <is>
          <t>1997-07-01</t>
        </is>
      </c>
      <c r="X53" t="inlineStr">
        <is>
          <t>1997-07-01</t>
        </is>
      </c>
      <c r="Y53" t="n">
        <v>110</v>
      </c>
      <c r="Z53" t="n">
        <v>110</v>
      </c>
      <c r="AA53" t="n">
        <v>229</v>
      </c>
      <c r="AB53" t="n">
        <v>3</v>
      </c>
      <c r="AC53" t="n">
        <v>4</v>
      </c>
      <c r="AD53" t="n">
        <v>6</v>
      </c>
      <c r="AE53" t="n">
        <v>8</v>
      </c>
      <c r="AF53" t="n">
        <v>2</v>
      </c>
      <c r="AG53" t="n">
        <v>2</v>
      </c>
      <c r="AH53" t="n">
        <v>0</v>
      </c>
      <c r="AI53" t="n">
        <v>1</v>
      </c>
      <c r="AJ53" t="n">
        <v>3</v>
      </c>
      <c r="AK53" t="n">
        <v>4</v>
      </c>
      <c r="AL53" t="n">
        <v>2</v>
      </c>
      <c r="AM53" t="n">
        <v>3</v>
      </c>
      <c r="AN53" t="n">
        <v>0</v>
      </c>
      <c r="AO53" t="n">
        <v>0</v>
      </c>
      <c r="AP53" t="inlineStr">
        <is>
          <t>No</t>
        </is>
      </c>
      <c r="AQ53" t="inlineStr">
        <is>
          <t>No</t>
        </is>
      </c>
      <c r="AS53">
        <f>HYPERLINK("https://creighton-primo.hosted.exlibrisgroup.com/primo-explore/search?tab=default_tab&amp;search_scope=EVERYTHING&amp;vid=01CRU&amp;lang=en_US&amp;offset=0&amp;query=any,contains,991003906369702656","Catalog Record")</f>
        <v/>
      </c>
      <c r="AT53">
        <f>HYPERLINK("http://www.worldcat.org/oclc/1839552","WorldCat Record")</f>
        <v/>
      </c>
      <c r="AU53" t="inlineStr">
        <is>
          <t>5930827:eng</t>
        </is>
      </c>
      <c r="AV53" t="inlineStr">
        <is>
          <t>1839552</t>
        </is>
      </c>
      <c r="AW53" t="inlineStr">
        <is>
          <t>991003906369702656</t>
        </is>
      </c>
      <c r="AX53" t="inlineStr">
        <is>
          <t>991003906369702656</t>
        </is>
      </c>
      <c r="AY53" t="inlineStr">
        <is>
          <t>2255246890002656</t>
        </is>
      </c>
      <c r="AZ53" t="inlineStr">
        <is>
          <t>BOOK</t>
        </is>
      </c>
      <c r="BC53" t="inlineStr">
        <is>
          <t>32285002860996</t>
        </is>
      </c>
      <c r="BD53" t="inlineStr">
        <is>
          <t>893788052</t>
        </is>
      </c>
    </row>
    <row r="54">
      <c r="A54" t="inlineStr">
        <is>
          <t>No</t>
        </is>
      </c>
      <c r="B54" t="inlineStr">
        <is>
          <t>NA200 .G56</t>
        </is>
      </c>
      <c r="C54" t="inlineStr">
        <is>
          <t>0                      NA 0200000G  56</t>
        </is>
      </c>
      <c r="D54" t="inlineStr">
        <is>
          <t>Guide to Western architecture.</t>
        </is>
      </c>
      <c r="F54" t="inlineStr">
        <is>
          <t>No</t>
        </is>
      </c>
      <c r="G54" t="inlineStr">
        <is>
          <t>1</t>
        </is>
      </c>
      <c r="H54" t="inlineStr">
        <is>
          <t>No</t>
        </is>
      </c>
      <c r="I54" t="inlineStr">
        <is>
          <t>No</t>
        </is>
      </c>
      <c r="J54" t="inlineStr">
        <is>
          <t>0</t>
        </is>
      </c>
      <c r="K54" t="inlineStr">
        <is>
          <t>Gloag, John, 1896-1981.</t>
        </is>
      </c>
      <c r="L54" t="inlineStr">
        <is>
          <t>New York, Grove Press [c1958]</t>
        </is>
      </c>
      <c r="M54" t="inlineStr">
        <is>
          <t>1958</t>
        </is>
      </c>
      <c r="O54" t="inlineStr">
        <is>
          <t>eng</t>
        </is>
      </c>
      <c r="P54" t="inlineStr">
        <is>
          <t xml:space="preserve">xx </t>
        </is>
      </c>
      <c r="R54" t="inlineStr">
        <is>
          <t xml:space="preserve">NA </t>
        </is>
      </c>
      <c r="S54" t="n">
        <v>2</v>
      </c>
      <c r="T54" t="n">
        <v>2</v>
      </c>
      <c r="U54" t="inlineStr">
        <is>
          <t>2001-02-22</t>
        </is>
      </c>
      <c r="V54" t="inlineStr">
        <is>
          <t>2001-02-22</t>
        </is>
      </c>
      <c r="W54" t="inlineStr">
        <is>
          <t>1997-07-01</t>
        </is>
      </c>
      <c r="X54" t="inlineStr">
        <is>
          <t>1997-07-01</t>
        </is>
      </c>
      <c r="Y54" t="n">
        <v>69</v>
      </c>
      <c r="Z54" t="n">
        <v>57</v>
      </c>
      <c r="AA54" t="n">
        <v>527</v>
      </c>
      <c r="AB54" t="n">
        <v>1</v>
      </c>
      <c r="AC54" t="n">
        <v>4</v>
      </c>
      <c r="AD54" t="n">
        <v>2</v>
      </c>
      <c r="AE54" t="n">
        <v>16</v>
      </c>
      <c r="AF54" t="n">
        <v>1</v>
      </c>
      <c r="AG54" t="n">
        <v>6</v>
      </c>
      <c r="AH54" t="n">
        <v>0</v>
      </c>
      <c r="AI54" t="n">
        <v>0</v>
      </c>
      <c r="AJ54" t="n">
        <v>1</v>
      </c>
      <c r="AK54" t="n">
        <v>8</v>
      </c>
      <c r="AL54" t="n">
        <v>0</v>
      </c>
      <c r="AM54" t="n">
        <v>3</v>
      </c>
      <c r="AN54" t="n">
        <v>0</v>
      </c>
      <c r="AO54" t="n">
        <v>0</v>
      </c>
      <c r="AP54" t="inlineStr">
        <is>
          <t>No</t>
        </is>
      </c>
      <c r="AQ54" t="inlineStr">
        <is>
          <t>No</t>
        </is>
      </c>
      <c r="AR54">
        <f>HYPERLINK("http://catalog.hathitrust.org/Record/102495569","HathiTrust Record")</f>
        <v/>
      </c>
      <c r="AS54">
        <f>HYPERLINK("https://creighton-primo.hosted.exlibrisgroup.com/primo-explore/search?tab=default_tab&amp;search_scope=EVERYTHING&amp;vid=01CRU&amp;lang=en_US&amp;offset=0&amp;query=any,contains,991002894019702656","Catalog Record")</f>
        <v/>
      </c>
      <c r="AT54">
        <f>HYPERLINK("http://www.worldcat.org/oclc/512926","WorldCat Record")</f>
        <v/>
      </c>
      <c r="AU54" t="inlineStr">
        <is>
          <t>149577312:eng</t>
        </is>
      </c>
      <c r="AV54" t="inlineStr">
        <is>
          <t>512926</t>
        </is>
      </c>
      <c r="AW54" t="inlineStr">
        <is>
          <t>991002894019702656</t>
        </is>
      </c>
      <c r="AX54" t="inlineStr">
        <is>
          <t>991002894019702656</t>
        </is>
      </c>
      <c r="AY54" t="inlineStr">
        <is>
          <t>2263217010002656</t>
        </is>
      </c>
      <c r="AZ54" t="inlineStr">
        <is>
          <t>BOOK</t>
        </is>
      </c>
      <c r="BC54" t="inlineStr">
        <is>
          <t>32285002861010</t>
        </is>
      </c>
      <c r="BD54" t="inlineStr">
        <is>
          <t>893622874</t>
        </is>
      </c>
    </row>
    <row r="55">
      <c r="A55" t="inlineStr">
        <is>
          <t>No</t>
        </is>
      </c>
      <c r="B55" t="inlineStr">
        <is>
          <t>NA200 .G76 1975</t>
        </is>
      </c>
      <c r="C55" t="inlineStr">
        <is>
          <t>0                      NA 0200000G  76          1975</t>
        </is>
      </c>
      <c r="D55" t="inlineStr">
        <is>
          <t>Great architecture of the world / general editor, John Julius Norwich.</t>
        </is>
      </c>
      <c r="F55" t="inlineStr">
        <is>
          <t>No</t>
        </is>
      </c>
      <c r="G55" t="inlineStr">
        <is>
          <t>1</t>
        </is>
      </c>
      <c r="H55" t="inlineStr">
        <is>
          <t>No</t>
        </is>
      </c>
      <c r="I55" t="inlineStr">
        <is>
          <t>No</t>
        </is>
      </c>
      <c r="J55" t="inlineStr">
        <is>
          <t>0</t>
        </is>
      </c>
      <c r="L55" t="inlineStr">
        <is>
          <t>New York : Random House, [1975]</t>
        </is>
      </c>
      <c r="M55" t="inlineStr">
        <is>
          <t>1975</t>
        </is>
      </c>
      <c r="N55" t="inlineStr">
        <is>
          <t>1st ed.</t>
        </is>
      </c>
      <c r="O55" t="inlineStr">
        <is>
          <t>eng</t>
        </is>
      </c>
      <c r="P55" t="inlineStr">
        <is>
          <t>nyu</t>
        </is>
      </c>
      <c r="R55" t="inlineStr">
        <is>
          <t xml:space="preserve">NA </t>
        </is>
      </c>
      <c r="S55" t="n">
        <v>11</v>
      </c>
      <c r="T55" t="n">
        <v>11</v>
      </c>
      <c r="U55" t="inlineStr">
        <is>
          <t>1998-11-20</t>
        </is>
      </c>
      <c r="V55" t="inlineStr">
        <is>
          <t>1998-11-20</t>
        </is>
      </c>
      <c r="W55" t="inlineStr">
        <is>
          <t>1993-09-30</t>
        </is>
      </c>
      <c r="X55" t="inlineStr">
        <is>
          <t>1993-09-30</t>
        </is>
      </c>
      <c r="Y55" t="n">
        <v>1187</v>
      </c>
      <c r="Z55" t="n">
        <v>1114</v>
      </c>
      <c r="AA55" t="n">
        <v>1631</v>
      </c>
      <c r="AB55" t="n">
        <v>9</v>
      </c>
      <c r="AC55" t="n">
        <v>13</v>
      </c>
      <c r="AD55" t="n">
        <v>25</v>
      </c>
      <c r="AE55" t="n">
        <v>38</v>
      </c>
      <c r="AF55" t="n">
        <v>8</v>
      </c>
      <c r="AG55" t="n">
        <v>13</v>
      </c>
      <c r="AH55" t="n">
        <v>5</v>
      </c>
      <c r="AI55" t="n">
        <v>7</v>
      </c>
      <c r="AJ55" t="n">
        <v>13</v>
      </c>
      <c r="AK55" t="n">
        <v>19</v>
      </c>
      <c r="AL55" t="n">
        <v>4</v>
      </c>
      <c r="AM55" t="n">
        <v>7</v>
      </c>
      <c r="AN55" t="n">
        <v>0</v>
      </c>
      <c r="AO55" t="n">
        <v>0</v>
      </c>
      <c r="AP55" t="inlineStr">
        <is>
          <t>No</t>
        </is>
      </c>
      <c r="AQ55" t="inlineStr">
        <is>
          <t>Yes</t>
        </is>
      </c>
      <c r="AR55">
        <f>HYPERLINK("http://catalog.hathitrust.org/Record/000408719","HathiTrust Record")</f>
        <v/>
      </c>
      <c r="AS55">
        <f>HYPERLINK("https://creighton-primo.hosted.exlibrisgroup.com/primo-explore/search?tab=default_tab&amp;search_scope=EVERYTHING&amp;vid=01CRU&amp;lang=en_US&amp;offset=0&amp;query=any,contains,991005208969702656","Catalog Record")</f>
        <v/>
      </c>
      <c r="AT55">
        <f>HYPERLINK("http://www.worldcat.org/oclc/8139409","WorldCat Record")</f>
        <v/>
      </c>
      <c r="AU55" t="inlineStr">
        <is>
          <t>2830214240:eng</t>
        </is>
      </c>
      <c r="AV55" t="inlineStr">
        <is>
          <t>8139409</t>
        </is>
      </c>
      <c r="AW55" t="inlineStr">
        <is>
          <t>991005208969702656</t>
        </is>
      </c>
      <c r="AX55" t="inlineStr">
        <is>
          <t>991005208969702656</t>
        </is>
      </c>
      <c r="AY55" t="inlineStr">
        <is>
          <t>2264077850002656</t>
        </is>
      </c>
      <c r="AZ55" t="inlineStr">
        <is>
          <t>BOOK</t>
        </is>
      </c>
      <c r="BB55" t="inlineStr">
        <is>
          <t>9780394498874</t>
        </is>
      </c>
      <c r="BC55" t="inlineStr">
        <is>
          <t>32285001772176</t>
        </is>
      </c>
      <c r="BD55" t="inlineStr">
        <is>
          <t>893801917</t>
        </is>
      </c>
    </row>
    <row r="56">
      <c r="A56" t="inlineStr">
        <is>
          <t>No</t>
        </is>
      </c>
      <c r="B56" t="inlineStr">
        <is>
          <t>NA200 .J32 1974</t>
        </is>
      </c>
      <c r="C56" t="inlineStr">
        <is>
          <t>0                      NA 0200000J  32          1974</t>
        </is>
      </c>
      <c r="D56" t="inlineStr">
        <is>
          <t>Architecture / by David Jacobs.</t>
        </is>
      </c>
      <c r="F56" t="inlineStr">
        <is>
          <t>No</t>
        </is>
      </c>
      <c r="G56" t="inlineStr">
        <is>
          <t>1</t>
        </is>
      </c>
      <c r="H56" t="inlineStr">
        <is>
          <t>No</t>
        </is>
      </c>
      <c r="I56" t="inlineStr">
        <is>
          <t>No</t>
        </is>
      </c>
      <c r="J56" t="inlineStr">
        <is>
          <t>0</t>
        </is>
      </c>
      <c r="K56" t="inlineStr">
        <is>
          <t>Jacobs, David, 1939-</t>
        </is>
      </c>
      <c r="L56" t="inlineStr">
        <is>
          <t>New York : Newsweek Books, c1974.</t>
        </is>
      </c>
      <c r="M56" t="inlineStr">
        <is>
          <t>1974</t>
        </is>
      </c>
      <c r="O56" t="inlineStr">
        <is>
          <t>eng</t>
        </is>
      </c>
      <c r="P56" t="inlineStr">
        <is>
          <t>nyu</t>
        </is>
      </c>
      <c r="Q56" t="inlineStr">
        <is>
          <t>World of culture</t>
        </is>
      </c>
      <c r="R56" t="inlineStr">
        <is>
          <t xml:space="preserve">NA </t>
        </is>
      </c>
      <c r="S56" t="n">
        <v>1</v>
      </c>
      <c r="T56" t="n">
        <v>1</v>
      </c>
      <c r="U56" t="inlineStr">
        <is>
          <t>2006-09-15</t>
        </is>
      </c>
      <c r="V56" t="inlineStr">
        <is>
          <t>2006-09-15</t>
        </is>
      </c>
      <c r="W56" t="inlineStr">
        <is>
          <t>1994-06-21</t>
        </is>
      </c>
      <c r="X56" t="inlineStr">
        <is>
          <t>1994-06-21</t>
        </is>
      </c>
      <c r="Y56" t="n">
        <v>744</v>
      </c>
      <c r="Z56" t="n">
        <v>677</v>
      </c>
      <c r="AA56" t="n">
        <v>685</v>
      </c>
      <c r="AB56" t="n">
        <v>8</v>
      </c>
      <c r="AC56" t="n">
        <v>8</v>
      </c>
      <c r="AD56" t="n">
        <v>14</v>
      </c>
      <c r="AE56" t="n">
        <v>14</v>
      </c>
      <c r="AF56" t="n">
        <v>6</v>
      </c>
      <c r="AG56" t="n">
        <v>6</v>
      </c>
      <c r="AH56" t="n">
        <v>2</v>
      </c>
      <c r="AI56" t="n">
        <v>2</v>
      </c>
      <c r="AJ56" t="n">
        <v>5</v>
      </c>
      <c r="AK56" t="n">
        <v>5</v>
      </c>
      <c r="AL56" t="n">
        <v>4</v>
      </c>
      <c r="AM56" t="n">
        <v>4</v>
      </c>
      <c r="AN56" t="n">
        <v>0</v>
      </c>
      <c r="AO56" t="n">
        <v>0</v>
      </c>
      <c r="AP56" t="inlineStr">
        <is>
          <t>No</t>
        </is>
      </c>
      <c r="AQ56" t="inlineStr">
        <is>
          <t>Yes</t>
        </is>
      </c>
      <c r="AR56">
        <f>HYPERLINK("http://catalog.hathitrust.org/Record/000036987","HathiTrust Record")</f>
        <v/>
      </c>
      <c r="AS56">
        <f>HYPERLINK("https://creighton-primo.hosted.exlibrisgroup.com/primo-explore/search?tab=default_tab&amp;search_scope=EVERYTHING&amp;vid=01CRU&amp;lang=en_US&amp;offset=0&amp;query=any,contains,991003695569702656","Catalog Record")</f>
        <v/>
      </c>
      <c r="AT56">
        <f>HYPERLINK("http://www.worldcat.org/oclc/1327605","WorldCat Record")</f>
        <v/>
      </c>
      <c r="AU56" t="inlineStr">
        <is>
          <t>499868813:eng</t>
        </is>
      </c>
      <c r="AV56" t="inlineStr">
        <is>
          <t>1327605</t>
        </is>
      </c>
      <c r="AW56" t="inlineStr">
        <is>
          <t>991003695569702656</t>
        </is>
      </c>
      <c r="AX56" t="inlineStr">
        <is>
          <t>991003695569702656</t>
        </is>
      </c>
      <c r="AY56" t="inlineStr">
        <is>
          <t>2258535450002656</t>
        </is>
      </c>
      <c r="AZ56" t="inlineStr">
        <is>
          <t>BOOK</t>
        </is>
      </c>
      <c r="BB56" t="inlineStr">
        <is>
          <t>9780882251073</t>
        </is>
      </c>
      <c r="BC56" t="inlineStr">
        <is>
          <t>32285001917094</t>
        </is>
      </c>
      <c r="BD56" t="inlineStr">
        <is>
          <t>893342875</t>
        </is>
      </c>
    </row>
    <row r="57">
      <c r="A57" t="inlineStr">
        <is>
          <t>No</t>
        </is>
      </c>
      <c r="B57" t="inlineStr">
        <is>
          <t>NA2000 .G813</t>
        </is>
      </c>
      <c r="C57" t="inlineStr">
        <is>
          <t>0                      NA 2000000G  813</t>
        </is>
      </c>
      <c r="D57" t="inlineStr">
        <is>
          <t>Apollo in the democracy : the cultural obligation of the architect.</t>
        </is>
      </c>
      <c r="F57" t="inlineStr">
        <is>
          <t>No</t>
        </is>
      </c>
      <c r="G57" t="inlineStr">
        <is>
          <t>1</t>
        </is>
      </c>
      <c r="H57" t="inlineStr">
        <is>
          <t>No</t>
        </is>
      </c>
      <c r="I57" t="inlineStr">
        <is>
          <t>No</t>
        </is>
      </c>
      <c r="J57" t="inlineStr">
        <is>
          <t>0</t>
        </is>
      </c>
      <c r="K57" t="inlineStr">
        <is>
          <t>Gropius, Walter, 1883-1969.</t>
        </is>
      </c>
      <c r="L57" t="inlineStr">
        <is>
          <t>New York : McGraw-Hill, [1968]</t>
        </is>
      </c>
      <c r="M57" t="inlineStr">
        <is>
          <t>1968</t>
        </is>
      </c>
      <c r="O57" t="inlineStr">
        <is>
          <t>eng</t>
        </is>
      </c>
      <c r="P57" t="inlineStr">
        <is>
          <t>nyu</t>
        </is>
      </c>
      <c r="R57" t="inlineStr">
        <is>
          <t xml:space="preserve">NA </t>
        </is>
      </c>
      <c r="S57" t="n">
        <v>1</v>
      </c>
      <c r="T57" t="n">
        <v>1</v>
      </c>
      <c r="U57" t="inlineStr">
        <is>
          <t>2001-04-23</t>
        </is>
      </c>
      <c r="V57" t="inlineStr">
        <is>
          <t>2001-04-23</t>
        </is>
      </c>
      <c r="W57" t="inlineStr">
        <is>
          <t>1992-05-01</t>
        </is>
      </c>
      <c r="X57" t="inlineStr">
        <is>
          <t>1992-05-01</t>
        </is>
      </c>
      <c r="Y57" t="n">
        <v>725</v>
      </c>
      <c r="Z57" t="n">
        <v>611</v>
      </c>
      <c r="AA57" t="n">
        <v>619</v>
      </c>
      <c r="AB57" t="n">
        <v>4</v>
      </c>
      <c r="AC57" t="n">
        <v>4</v>
      </c>
      <c r="AD57" t="n">
        <v>25</v>
      </c>
      <c r="AE57" t="n">
        <v>25</v>
      </c>
      <c r="AF57" t="n">
        <v>8</v>
      </c>
      <c r="AG57" t="n">
        <v>8</v>
      </c>
      <c r="AH57" t="n">
        <v>5</v>
      </c>
      <c r="AI57" t="n">
        <v>5</v>
      </c>
      <c r="AJ57" t="n">
        <v>12</v>
      </c>
      <c r="AK57" t="n">
        <v>12</v>
      </c>
      <c r="AL57" t="n">
        <v>3</v>
      </c>
      <c r="AM57" t="n">
        <v>3</v>
      </c>
      <c r="AN57" t="n">
        <v>0</v>
      </c>
      <c r="AO57" t="n">
        <v>0</v>
      </c>
      <c r="AP57" t="inlineStr">
        <is>
          <t>No</t>
        </is>
      </c>
      <c r="AQ57" t="inlineStr">
        <is>
          <t>Yes</t>
        </is>
      </c>
      <c r="AR57">
        <f>HYPERLINK("http://catalog.hathitrust.org/Record/000602247","HathiTrust Record")</f>
        <v/>
      </c>
      <c r="AS57">
        <f>HYPERLINK("https://creighton-primo.hosted.exlibrisgroup.com/primo-explore/search?tab=default_tab&amp;search_scope=EVERYTHING&amp;vid=01CRU&amp;lang=en_US&amp;offset=0&amp;query=any,contains,991001180229702656","Catalog Record")</f>
        <v/>
      </c>
      <c r="AT57">
        <f>HYPERLINK("http://www.worldcat.org/oclc/189968","WorldCat Record")</f>
        <v/>
      </c>
      <c r="AU57" t="inlineStr">
        <is>
          <t>293303583:eng</t>
        </is>
      </c>
      <c r="AV57" t="inlineStr">
        <is>
          <t>189968</t>
        </is>
      </c>
      <c r="AW57" t="inlineStr">
        <is>
          <t>991001180229702656</t>
        </is>
      </c>
      <c r="AX57" t="inlineStr">
        <is>
          <t>991001180229702656</t>
        </is>
      </c>
      <c r="AY57" t="inlineStr">
        <is>
          <t>2268484190002656</t>
        </is>
      </c>
      <c r="AZ57" t="inlineStr">
        <is>
          <t>BOOK</t>
        </is>
      </c>
      <c r="BC57" t="inlineStr">
        <is>
          <t>32285001091098</t>
        </is>
      </c>
      <c r="BD57" t="inlineStr">
        <is>
          <t>893438939</t>
        </is>
      </c>
    </row>
    <row r="58">
      <c r="A58" t="inlineStr">
        <is>
          <t>No</t>
        </is>
      </c>
      <c r="B58" t="inlineStr">
        <is>
          <t>NA201 .W6</t>
        </is>
      </c>
      <c r="C58" t="inlineStr">
        <is>
          <t>0                      NA 0201000W  6</t>
        </is>
      </c>
      <c r="D58" t="inlineStr">
        <is>
          <t>World architecture; an illustrated history. Introd. by H.R. Hitchcock. [Text by] Seton Lloyd [and others. Editor: Trewin Copplestone.</t>
        </is>
      </c>
      <c r="F58" t="inlineStr">
        <is>
          <t>No</t>
        </is>
      </c>
      <c r="G58" t="inlineStr">
        <is>
          <t>1</t>
        </is>
      </c>
      <c r="H58" t="inlineStr">
        <is>
          <t>No</t>
        </is>
      </c>
      <c r="I58" t="inlineStr">
        <is>
          <t>No</t>
        </is>
      </c>
      <c r="J58" t="inlineStr">
        <is>
          <t>0</t>
        </is>
      </c>
      <c r="L58" t="inlineStr">
        <is>
          <t>New York] McGraw-Hill [1963]</t>
        </is>
      </c>
      <c r="M58" t="inlineStr">
        <is>
          <t>1963</t>
        </is>
      </c>
      <c r="O58" t="inlineStr">
        <is>
          <t>eng</t>
        </is>
      </c>
      <c r="P58" t="inlineStr">
        <is>
          <t>nyu</t>
        </is>
      </c>
      <c r="R58" t="inlineStr">
        <is>
          <t xml:space="preserve">NA </t>
        </is>
      </c>
      <c r="S58" t="n">
        <v>1</v>
      </c>
      <c r="T58" t="n">
        <v>1</v>
      </c>
      <c r="U58" t="inlineStr">
        <is>
          <t>1998-12-05</t>
        </is>
      </c>
      <c r="V58" t="inlineStr">
        <is>
          <t>1998-12-05</t>
        </is>
      </c>
      <c r="W58" t="inlineStr">
        <is>
          <t>1997-07-01</t>
        </is>
      </c>
      <c r="X58" t="inlineStr">
        <is>
          <t>1997-07-01</t>
        </is>
      </c>
      <c r="Y58" t="n">
        <v>959</v>
      </c>
      <c r="Z58" t="n">
        <v>888</v>
      </c>
      <c r="AA58" t="n">
        <v>1351</v>
      </c>
      <c r="AB58" t="n">
        <v>10</v>
      </c>
      <c r="AC58" t="n">
        <v>11</v>
      </c>
      <c r="AD58" t="n">
        <v>26</v>
      </c>
      <c r="AE58" t="n">
        <v>38</v>
      </c>
      <c r="AF58" t="n">
        <v>9</v>
      </c>
      <c r="AG58" t="n">
        <v>19</v>
      </c>
      <c r="AH58" t="n">
        <v>4</v>
      </c>
      <c r="AI58" t="n">
        <v>5</v>
      </c>
      <c r="AJ58" t="n">
        <v>11</v>
      </c>
      <c r="AK58" t="n">
        <v>16</v>
      </c>
      <c r="AL58" t="n">
        <v>6</v>
      </c>
      <c r="AM58" t="n">
        <v>6</v>
      </c>
      <c r="AN58" t="n">
        <v>0</v>
      </c>
      <c r="AO58" t="n">
        <v>0</v>
      </c>
      <c r="AP58" t="inlineStr">
        <is>
          <t>No</t>
        </is>
      </c>
      <c r="AQ58" t="inlineStr">
        <is>
          <t>No</t>
        </is>
      </c>
      <c r="AR58">
        <f>HYPERLINK("http://catalog.hathitrust.org/Record/101736148","HathiTrust Record")</f>
        <v/>
      </c>
      <c r="AS58">
        <f>HYPERLINK("https://creighton-primo.hosted.exlibrisgroup.com/primo-explore/search?tab=default_tab&amp;search_scope=EVERYTHING&amp;vid=01CRU&amp;lang=en_US&amp;offset=0&amp;query=any,contains,991003643439702656","Catalog Record")</f>
        <v/>
      </c>
      <c r="AT58">
        <f>HYPERLINK("http://www.worldcat.org/oclc/1242161","WorldCat Record")</f>
        <v/>
      </c>
      <c r="AU58" t="inlineStr">
        <is>
          <t>498809510:eng</t>
        </is>
      </c>
      <c r="AV58" t="inlineStr">
        <is>
          <t>1242161</t>
        </is>
      </c>
      <c r="AW58" t="inlineStr">
        <is>
          <t>991003643439702656</t>
        </is>
      </c>
      <c r="AX58" t="inlineStr">
        <is>
          <t>991003643439702656</t>
        </is>
      </c>
      <c r="AY58" t="inlineStr">
        <is>
          <t>2258452040002656</t>
        </is>
      </c>
      <c r="AZ58" t="inlineStr">
        <is>
          <t>BOOK</t>
        </is>
      </c>
      <c r="BC58" t="inlineStr">
        <is>
          <t>32285002861051</t>
        </is>
      </c>
      <c r="BD58" t="inlineStr">
        <is>
          <t>893441531</t>
        </is>
      </c>
    </row>
    <row r="59">
      <c r="A59" t="inlineStr">
        <is>
          <t>No</t>
        </is>
      </c>
      <c r="B59" t="inlineStr">
        <is>
          <t>NA203 .G5</t>
        </is>
      </c>
      <c r="C59" t="inlineStr">
        <is>
          <t>0                      NA 0203000G  5</t>
        </is>
      </c>
      <c r="D59" t="inlineStr">
        <is>
          <t>Space, time and architecture; the growth of a new tradition.</t>
        </is>
      </c>
      <c r="F59" t="inlineStr">
        <is>
          <t>No</t>
        </is>
      </c>
      <c r="G59" t="inlineStr">
        <is>
          <t>1</t>
        </is>
      </c>
      <c r="H59" t="inlineStr">
        <is>
          <t>No</t>
        </is>
      </c>
      <c r="I59" t="inlineStr">
        <is>
          <t>No</t>
        </is>
      </c>
      <c r="J59" t="inlineStr">
        <is>
          <t>0</t>
        </is>
      </c>
      <c r="K59" t="inlineStr">
        <is>
          <t>Giedion, S. (Sigfried), 1888-1968.</t>
        </is>
      </c>
      <c r="L59" t="inlineStr">
        <is>
          <t>Cambridge, The Harvard University Press; London, H. Milford, Oxford University Press, 1941.</t>
        </is>
      </c>
      <c r="M59" t="inlineStr">
        <is>
          <t>1941</t>
        </is>
      </c>
      <c r="O59" t="inlineStr">
        <is>
          <t>eng</t>
        </is>
      </c>
      <c r="P59" t="inlineStr">
        <is>
          <t>mau</t>
        </is>
      </c>
      <c r="Q59" t="inlineStr">
        <is>
          <t>The Charles Eliot Norton lectures for 1938-1939</t>
        </is>
      </c>
      <c r="R59" t="inlineStr">
        <is>
          <t xml:space="preserve">NA </t>
        </is>
      </c>
      <c r="S59" t="n">
        <v>2</v>
      </c>
      <c r="T59" t="n">
        <v>2</v>
      </c>
      <c r="U59" t="inlineStr">
        <is>
          <t>2010-03-08</t>
        </is>
      </c>
      <c r="V59" t="inlineStr">
        <is>
          <t>2010-03-08</t>
        </is>
      </c>
      <c r="W59" t="inlineStr">
        <is>
          <t>1997-07-01</t>
        </is>
      </c>
      <c r="X59" t="inlineStr">
        <is>
          <t>1997-07-01</t>
        </is>
      </c>
      <c r="Y59" t="n">
        <v>321</v>
      </c>
      <c r="Z59" t="n">
        <v>274</v>
      </c>
      <c r="AA59" t="n">
        <v>1767</v>
      </c>
      <c r="AB59" t="n">
        <v>2</v>
      </c>
      <c r="AC59" t="n">
        <v>11</v>
      </c>
      <c r="AD59" t="n">
        <v>4</v>
      </c>
      <c r="AE59" t="n">
        <v>55</v>
      </c>
      <c r="AF59" t="n">
        <v>1</v>
      </c>
      <c r="AG59" t="n">
        <v>23</v>
      </c>
      <c r="AH59" t="n">
        <v>1</v>
      </c>
      <c r="AI59" t="n">
        <v>10</v>
      </c>
      <c r="AJ59" t="n">
        <v>1</v>
      </c>
      <c r="AK59" t="n">
        <v>26</v>
      </c>
      <c r="AL59" t="n">
        <v>1</v>
      </c>
      <c r="AM59" t="n">
        <v>9</v>
      </c>
      <c r="AN59" t="n">
        <v>0</v>
      </c>
      <c r="AO59" t="n">
        <v>0</v>
      </c>
      <c r="AP59" t="inlineStr">
        <is>
          <t>No</t>
        </is>
      </c>
      <c r="AQ59" t="inlineStr">
        <is>
          <t>Yes</t>
        </is>
      </c>
      <c r="AR59">
        <f>HYPERLINK("http://catalog.hathitrust.org/Record/000563762","HathiTrust Record")</f>
        <v/>
      </c>
      <c r="AS59">
        <f>HYPERLINK("https://creighton-primo.hosted.exlibrisgroup.com/primo-explore/search?tab=default_tab&amp;search_scope=EVERYTHING&amp;vid=01CRU&amp;lang=en_US&amp;offset=0&amp;query=any,contains,991003506759702656","Catalog Record")</f>
        <v/>
      </c>
      <c r="AT59">
        <f>HYPERLINK("http://www.worldcat.org/oclc/1058878","WorldCat Record")</f>
        <v/>
      </c>
      <c r="AU59" t="inlineStr">
        <is>
          <t>62743510:eng</t>
        </is>
      </c>
      <c r="AV59" t="inlineStr">
        <is>
          <t>1058878</t>
        </is>
      </c>
      <c r="AW59" t="inlineStr">
        <is>
          <t>991003506759702656</t>
        </is>
      </c>
      <c r="AX59" t="inlineStr">
        <is>
          <t>991003506759702656</t>
        </is>
      </c>
      <c r="AY59" t="inlineStr">
        <is>
          <t>2271527350002656</t>
        </is>
      </c>
      <c r="AZ59" t="inlineStr">
        <is>
          <t>BOOK</t>
        </is>
      </c>
      <c r="BC59" t="inlineStr">
        <is>
          <t>32285002861077</t>
        </is>
      </c>
      <c r="BD59" t="inlineStr">
        <is>
          <t>893874823</t>
        </is>
      </c>
    </row>
    <row r="60">
      <c r="A60" t="inlineStr">
        <is>
          <t>No</t>
        </is>
      </c>
      <c r="B60" t="inlineStr">
        <is>
          <t>NA210 .P56</t>
        </is>
      </c>
      <c r="C60" t="inlineStr">
        <is>
          <t>0                      NA 0210000P  56</t>
        </is>
      </c>
      <c r="D60" t="inlineStr">
        <is>
          <t>Ancient and classical architecture.</t>
        </is>
      </c>
      <c r="F60" t="inlineStr">
        <is>
          <t>No</t>
        </is>
      </c>
      <c r="G60" t="inlineStr">
        <is>
          <t>1</t>
        </is>
      </c>
      <c r="H60" t="inlineStr">
        <is>
          <t>No</t>
        </is>
      </c>
      <c r="I60" t="inlineStr">
        <is>
          <t>No</t>
        </is>
      </c>
      <c r="J60" t="inlineStr">
        <is>
          <t>0</t>
        </is>
      </c>
      <c r="K60" t="inlineStr">
        <is>
          <t>Plommer, Hugh.</t>
        </is>
      </c>
      <c r="L60" t="inlineStr">
        <is>
          <t>[London] Longmans [1956]</t>
        </is>
      </c>
      <c r="M60" t="inlineStr">
        <is>
          <t>1956</t>
        </is>
      </c>
      <c r="N60" t="inlineStr">
        <is>
          <t>[Rev. ed.]</t>
        </is>
      </c>
      <c r="O60" t="inlineStr">
        <is>
          <t>eng</t>
        </is>
      </c>
      <c r="P60" t="inlineStr">
        <is>
          <t>enk</t>
        </is>
      </c>
      <c r="Q60" t="inlineStr">
        <is>
          <t>Simpson's History of architectural development, new edition, v. 1</t>
        </is>
      </c>
      <c r="R60" t="inlineStr">
        <is>
          <t xml:space="preserve">NA </t>
        </is>
      </c>
      <c r="S60" t="n">
        <v>1</v>
      </c>
      <c r="T60" t="n">
        <v>1</v>
      </c>
      <c r="U60" t="inlineStr">
        <is>
          <t>1998-11-24</t>
        </is>
      </c>
      <c r="V60" t="inlineStr">
        <is>
          <t>1998-11-24</t>
        </is>
      </c>
      <c r="W60" t="inlineStr">
        <is>
          <t>1997-07-01</t>
        </is>
      </c>
      <c r="X60" t="inlineStr">
        <is>
          <t>1997-07-01</t>
        </is>
      </c>
      <c r="Y60" t="n">
        <v>85</v>
      </c>
      <c r="Z60" t="n">
        <v>50</v>
      </c>
      <c r="AA60" t="n">
        <v>131</v>
      </c>
      <c r="AB60" t="n">
        <v>1</v>
      </c>
      <c r="AC60" t="n">
        <v>2</v>
      </c>
      <c r="AD60" t="n">
        <v>3</v>
      </c>
      <c r="AE60" t="n">
        <v>8</v>
      </c>
      <c r="AF60" t="n">
        <v>1</v>
      </c>
      <c r="AG60" t="n">
        <v>4</v>
      </c>
      <c r="AH60" t="n">
        <v>0</v>
      </c>
      <c r="AI60" t="n">
        <v>0</v>
      </c>
      <c r="AJ60" t="n">
        <v>2</v>
      </c>
      <c r="AK60" t="n">
        <v>4</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HYPERLINK("https://creighton-primo.hosted.exlibrisgroup.com/primo-explore/search?tab=default_tab&amp;search_scope=EVERYTHING&amp;vid=01CRU&amp;lang=en_US&amp;offset=0&amp;query=any,contains,991004231909702656","Catalog Record")</f>
        <v/>
      </c>
      <c r="AT60">
        <f>HYPERLINK("http://www.worldcat.org/oclc/2749495","WorldCat Record")</f>
        <v/>
      </c>
      <c r="AU60" t="inlineStr">
        <is>
          <t>6336607:eng</t>
        </is>
      </c>
      <c r="AV60" t="inlineStr">
        <is>
          <t>2749495</t>
        </is>
      </c>
      <c r="AW60" t="inlineStr">
        <is>
          <t>991004231909702656</t>
        </is>
      </c>
      <c r="AX60" t="inlineStr">
        <is>
          <t>991004231909702656</t>
        </is>
      </c>
      <c r="AY60" t="inlineStr">
        <is>
          <t>2254959860002656</t>
        </is>
      </c>
      <c r="AZ60" t="inlineStr">
        <is>
          <t>BOOK</t>
        </is>
      </c>
      <c r="BC60" t="inlineStr">
        <is>
          <t>32285002861093</t>
        </is>
      </c>
      <c r="BD60" t="inlineStr">
        <is>
          <t>893806821</t>
        </is>
      </c>
    </row>
    <row r="61">
      <c r="A61" t="inlineStr">
        <is>
          <t>No</t>
        </is>
      </c>
      <c r="B61" t="inlineStr">
        <is>
          <t>NA215 .A75 1999</t>
        </is>
      </c>
      <c r="C61" t="inlineStr">
        <is>
          <t>0                      NA 0215000A  75          1999</t>
        </is>
      </c>
      <c r="D61" t="inlineStr">
        <is>
          <t>Temples of the last pharaohs / Dieter Arnold.</t>
        </is>
      </c>
      <c r="F61" t="inlineStr">
        <is>
          <t>No</t>
        </is>
      </c>
      <c r="G61" t="inlineStr">
        <is>
          <t>1</t>
        </is>
      </c>
      <c r="H61" t="inlineStr">
        <is>
          <t>No</t>
        </is>
      </c>
      <c r="I61" t="inlineStr">
        <is>
          <t>No</t>
        </is>
      </c>
      <c r="J61" t="inlineStr">
        <is>
          <t>0</t>
        </is>
      </c>
      <c r="K61" t="inlineStr">
        <is>
          <t>Arnold, Dieter, 1936-</t>
        </is>
      </c>
      <c r="L61" t="inlineStr">
        <is>
          <t>New York : Oxford University Press, c1999.</t>
        </is>
      </c>
      <c r="M61" t="inlineStr">
        <is>
          <t>1999</t>
        </is>
      </c>
      <c r="O61" t="inlineStr">
        <is>
          <t>eng</t>
        </is>
      </c>
      <c r="P61" t="inlineStr">
        <is>
          <t>nyu</t>
        </is>
      </c>
      <c r="R61" t="inlineStr">
        <is>
          <t xml:space="preserve">NA </t>
        </is>
      </c>
      <c r="S61" t="n">
        <v>1</v>
      </c>
      <c r="T61" t="n">
        <v>1</v>
      </c>
      <c r="U61" t="inlineStr">
        <is>
          <t>2002-07-30</t>
        </is>
      </c>
      <c r="V61" t="inlineStr">
        <is>
          <t>2002-07-30</t>
        </is>
      </c>
      <c r="W61" t="inlineStr">
        <is>
          <t>2002-07-30</t>
        </is>
      </c>
      <c r="X61" t="inlineStr">
        <is>
          <t>2002-07-30</t>
        </is>
      </c>
      <c r="Y61" t="n">
        <v>482</v>
      </c>
      <c r="Z61" t="n">
        <v>397</v>
      </c>
      <c r="AA61" t="n">
        <v>404</v>
      </c>
      <c r="AB61" t="n">
        <v>3</v>
      </c>
      <c r="AC61" t="n">
        <v>3</v>
      </c>
      <c r="AD61" t="n">
        <v>18</v>
      </c>
      <c r="AE61" t="n">
        <v>18</v>
      </c>
      <c r="AF61" t="n">
        <v>8</v>
      </c>
      <c r="AG61" t="n">
        <v>8</v>
      </c>
      <c r="AH61" t="n">
        <v>5</v>
      </c>
      <c r="AI61" t="n">
        <v>5</v>
      </c>
      <c r="AJ61" t="n">
        <v>10</v>
      </c>
      <c r="AK61" t="n">
        <v>10</v>
      </c>
      <c r="AL61" t="n">
        <v>2</v>
      </c>
      <c r="AM61" t="n">
        <v>2</v>
      </c>
      <c r="AN61" t="n">
        <v>0</v>
      </c>
      <c r="AO61" t="n">
        <v>0</v>
      </c>
      <c r="AP61" t="inlineStr">
        <is>
          <t>No</t>
        </is>
      </c>
      <c r="AQ61" t="inlineStr">
        <is>
          <t>Yes</t>
        </is>
      </c>
      <c r="AR61">
        <f>HYPERLINK("http://catalog.hathitrust.org/Record/004060488","HathiTrust Record")</f>
        <v/>
      </c>
      <c r="AS61">
        <f>HYPERLINK("https://creighton-primo.hosted.exlibrisgroup.com/primo-explore/search?tab=default_tab&amp;search_scope=EVERYTHING&amp;vid=01CRU&amp;lang=en_US&amp;offset=0&amp;query=any,contains,991003837439702656","Catalog Record")</f>
        <v/>
      </c>
      <c r="AT61">
        <f>HYPERLINK("http://www.worldcat.org/oclc/40954181","WorldCat Record")</f>
        <v/>
      </c>
      <c r="AU61" t="inlineStr">
        <is>
          <t>23499779:eng</t>
        </is>
      </c>
      <c r="AV61" t="inlineStr">
        <is>
          <t>40954181</t>
        </is>
      </c>
      <c r="AW61" t="inlineStr">
        <is>
          <t>991003837439702656</t>
        </is>
      </c>
      <c r="AX61" t="inlineStr">
        <is>
          <t>991003837439702656</t>
        </is>
      </c>
      <c r="AY61" t="inlineStr">
        <is>
          <t>2262986890002656</t>
        </is>
      </c>
      <c r="AZ61" t="inlineStr">
        <is>
          <t>BOOK</t>
        </is>
      </c>
      <c r="BB61" t="inlineStr">
        <is>
          <t>9780195126334</t>
        </is>
      </c>
      <c r="BC61" t="inlineStr">
        <is>
          <t>32285004640776</t>
        </is>
      </c>
      <c r="BD61" t="inlineStr">
        <is>
          <t>893410753</t>
        </is>
      </c>
    </row>
    <row r="62">
      <c r="A62" t="inlineStr">
        <is>
          <t>No</t>
        </is>
      </c>
      <c r="B62" t="inlineStr">
        <is>
          <t>NA215 .B285</t>
        </is>
      </c>
      <c r="C62" t="inlineStr">
        <is>
          <t>0                      NA 0215000B  285</t>
        </is>
      </c>
      <c r="D62" t="inlineStr">
        <is>
          <t>Architecture in ancient Egypt and the Near East.</t>
        </is>
      </c>
      <c r="F62" t="inlineStr">
        <is>
          <t>No</t>
        </is>
      </c>
      <c r="G62" t="inlineStr">
        <is>
          <t>1</t>
        </is>
      </c>
      <c r="H62" t="inlineStr">
        <is>
          <t>No</t>
        </is>
      </c>
      <c r="I62" t="inlineStr">
        <is>
          <t>No</t>
        </is>
      </c>
      <c r="J62" t="inlineStr">
        <is>
          <t>0</t>
        </is>
      </c>
      <c r="K62" t="inlineStr">
        <is>
          <t>Badawy, Alexander.</t>
        </is>
      </c>
      <c r="L62" t="inlineStr">
        <is>
          <t>Cambridge : M.I.T. Press, [1966]</t>
        </is>
      </c>
      <c r="M62" t="inlineStr">
        <is>
          <t>1966</t>
        </is>
      </c>
      <c r="O62" t="inlineStr">
        <is>
          <t>eng</t>
        </is>
      </c>
      <c r="P62" t="inlineStr">
        <is>
          <t>mau</t>
        </is>
      </c>
      <c r="R62" t="inlineStr">
        <is>
          <t xml:space="preserve">NA </t>
        </is>
      </c>
      <c r="S62" t="n">
        <v>2</v>
      </c>
      <c r="T62" t="n">
        <v>2</v>
      </c>
      <c r="U62" t="inlineStr">
        <is>
          <t>1992-11-24</t>
        </is>
      </c>
      <c r="V62" t="inlineStr">
        <is>
          <t>1992-11-24</t>
        </is>
      </c>
      <c r="W62" t="inlineStr">
        <is>
          <t>1992-05-08</t>
        </is>
      </c>
      <c r="X62" t="inlineStr">
        <is>
          <t>1992-05-08</t>
        </is>
      </c>
      <c r="Y62" t="n">
        <v>966</v>
      </c>
      <c r="Z62" t="n">
        <v>827</v>
      </c>
      <c r="AA62" t="n">
        <v>837</v>
      </c>
      <c r="AB62" t="n">
        <v>6</v>
      </c>
      <c r="AC62" t="n">
        <v>6</v>
      </c>
      <c r="AD62" t="n">
        <v>28</v>
      </c>
      <c r="AE62" t="n">
        <v>28</v>
      </c>
      <c r="AF62" t="n">
        <v>11</v>
      </c>
      <c r="AG62" t="n">
        <v>11</v>
      </c>
      <c r="AH62" t="n">
        <v>6</v>
      </c>
      <c r="AI62" t="n">
        <v>6</v>
      </c>
      <c r="AJ62" t="n">
        <v>11</v>
      </c>
      <c r="AK62" t="n">
        <v>11</v>
      </c>
      <c r="AL62" t="n">
        <v>5</v>
      </c>
      <c r="AM62" t="n">
        <v>5</v>
      </c>
      <c r="AN62" t="n">
        <v>0</v>
      </c>
      <c r="AO62" t="n">
        <v>0</v>
      </c>
      <c r="AP62" t="inlineStr">
        <is>
          <t>No</t>
        </is>
      </c>
      <c r="AQ62" t="inlineStr">
        <is>
          <t>Yes</t>
        </is>
      </c>
      <c r="AR62">
        <f>HYPERLINK("http://catalog.hathitrust.org/Record/000408786","HathiTrust Record")</f>
        <v/>
      </c>
      <c r="AS62">
        <f>HYPERLINK("https://creighton-primo.hosted.exlibrisgroup.com/primo-explore/search?tab=default_tab&amp;search_scope=EVERYTHING&amp;vid=01CRU&amp;lang=en_US&amp;offset=0&amp;query=any,contains,991002891859702656","Catalog Record")</f>
        <v/>
      </c>
      <c r="AT62">
        <f>HYPERLINK("http://www.worldcat.org/oclc/512099","WorldCat Record")</f>
        <v/>
      </c>
      <c r="AU62" t="inlineStr">
        <is>
          <t>1478494:eng</t>
        </is>
      </c>
      <c r="AV62" t="inlineStr">
        <is>
          <t>512099</t>
        </is>
      </c>
      <c r="AW62" t="inlineStr">
        <is>
          <t>991002891859702656</t>
        </is>
      </c>
      <c r="AX62" t="inlineStr">
        <is>
          <t>991002891859702656</t>
        </is>
      </c>
      <c r="AY62" t="inlineStr">
        <is>
          <t>2263435880002656</t>
        </is>
      </c>
      <c r="AZ62" t="inlineStr">
        <is>
          <t>BOOK</t>
        </is>
      </c>
      <c r="BC62" t="inlineStr">
        <is>
          <t>32285001105088</t>
        </is>
      </c>
      <c r="BD62" t="inlineStr">
        <is>
          <t>893504956</t>
        </is>
      </c>
    </row>
    <row r="63">
      <c r="A63" t="inlineStr">
        <is>
          <t>No</t>
        </is>
      </c>
      <c r="B63" t="inlineStr">
        <is>
          <t>NA215 .M8 1977</t>
        </is>
      </c>
      <c r="C63" t="inlineStr">
        <is>
          <t>0                      NA 0215000M  8           1977</t>
        </is>
      </c>
      <c r="D63" t="inlineStr">
        <is>
          <t>Egyptian temples / by Margaret A. Murray.</t>
        </is>
      </c>
      <c r="F63" t="inlineStr">
        <is>
          <t>No</t>
        </is>
      </c>
      <c r="G63" t="inlineStr">
        <is>
          <t>1</t>
        </is>
      </c>
      <c r="H63" t="inlineStr">
        <is>
          <t>No</t>
        </is>
      </c>
      <c r="I63" t="inlineStr">
        <is>
          <t>No</t>
        </is>
      </c>
      <c r="J63" t="inlineStr">
        <is>
          <t>0</t>
        </is>
      </c>
      <c r="K63" t="inlineStr">
        <is>
          <t>Murray, Margaret Alice.</t>
        </is>
      </c>
      <c r="L63" t="inlineStr">
        <is>
          <t>New York : AMS Press, 1977.</t>
        </is>
      </c>
      <c r="M63" t="inlineStr">
        <is>
          <t>1977</t>
        </is>
      </c>
      <c r="O63" t="inlineStr">
        <is>
          <t>eng</t>
        </is>
      </c>
      <c r="P63" t="inlineStr">
        <is>
          <t>nyu</t>
        </is>
      </c>
      <c r="R63" t="inlineStr">
        <is>
          <t xml:space="preserve">NA </t>
        </is>
      </c>
      <c r="S63" t="n">
        <v>4</v>
      </c>
      <c r="T63" t="n">
        <v>4</v>
      </c>
      <c r="U63" t="inlineStr">
        <is>
          <t>1999-10-08</t>
        </is>
      </c>
      <c r="V63" t="inlineStr">
        <is>
          <t>1999-10-08</t>
        </is>
      </c>
      <c r="W63" t="inlineStr">
        <is>
          <t>1992-07-15</t>
        </is>
      </c>
      <c r="X63" t="inlineStr">
        <is>
          <t>1992-07-15</t>
        </is>
      </c>
      <c r="Y63" t="n">
        <v>107</v>
      </c>
      <c r="Z63" t="n">
        <v>98</v>
      </c>
      <c r="AA63" t="n">
        <v>296</v>
      </c>
      <c r="AB63" t="n">
        <v>1</v>
      </c>
      <c r="AC63" t="n">
        <v>3</v>
      </c>
      <c r="AD63" t="n">
        <v>5</v>
      </c>
      <c r="AE63" t="n">
        <v>15</v>
      </c>
      <c r="AF63" t="n">
        <v>2</v>
      </c>
      <c r="AG63" t="n">
        <v>4</v>
      </c>
      <c r="AH63" t="n">
        <v>3</v>
      </c>
      <c r="AI63" t="n">
        <v>5</v>
      </c>
      <c r="AJ63" t="n">
        <v>1</v>
      </c>
      <c r="AK63" t="n">
        <v>7</v>
      </c>
      <c r="AL63" t="n">
        <v>0</v>
      </c>
      <c r="AM63" t="n">
        <v>2</v>
      </c>
      <c r="AN63" t="n">
        <v>0</v>
      </c>
      <c r="AO63" t="n">
        <v>0</v>
      </c>
      <c r="AP63" t="inlineStr">
        <is>
          <t>No</t>
        </is>
      </c>
      <c r="AQ63" t="inlineStr">
        <is>
          <t>Yes</t>
        </is>
      </c>
      <c r="AR63">
        <f>HYPERLINK("http://catalog.hathitrust.org/Record/000085459","HathiTrust Record")</f>
        <v/>
      </c>
      <c r="AS63">
        <f>HYPERLINK("https://creighton-primo.hosted.exlibrisgroup.com/primo-explore/search?tab=default_tab&amp;search_scope=EVERYTHING&amp;vid=01CRU&amp;lang=en_US&amp;offset=0&amp;query=any,contains,991004351069702656","Catalog Record")</f>
        <v/>
      </c>
      <c r="AT63">
        <f>HYPERLINK("http://www.worldcat.org/oclc/3120503","WorldCat Record")</f>
        <v/>
      </c>
      <c r="AU63" t="inlineStr">
        <is>
          <t>475327:eng</t>
        </is>
      </c>
      <c r="AV63" t="inlineStr">
        <is>
          <t>3120503</t>
        </is>
      </c>
      <c r="AW63" t="inlineStr">
        <is>
          <t>991004351069702656</t>
        </is>
      </c>
      <c r="AX63" t="inlineStr">
        <is>
          <t>991004351069702656</t>
        </is>
      </c>
      <c r="AY63" t="inlineStr">
        <is>
          <t>2263819110002656</t>
        </is>
      </c>
      <c r="AZ63" t="inlineStr">
        <is>
          <t>BOOK</t>
        </is>
      </c>
      <c r="BB63" t="inlineStr">
        <is>
          <t>9780404147198</t>
        </is>
      </c>
      <c r="BC63" t="inlineStr">
        <is>
          <t>32285001151892</t>
        </is>
      </c>
      <c r="BD63" t="inlineStr">
        <is>
          <t>893593588</t>
        </is>
      </c>
    </row>
    <row r="64">
      <c r="A64" t="inlineStr">
        <is>
          <t>No</t>
        </is>
      </c>
      <c r="B64" t="inlineStr">
        <is>
          <t>NA216.A2 D38 1981</t>
        </is>
      </c>
      <c r="C64" t="inlineStr">
        <is>
          <t>0                      NA 0216000A  2                  D  38          1981</t>
        </is>
      </c>
      <c r="D64" t="inlineStr">
        <is>
          <t>A guide to religious ritual at Abydos / Rosalie David.</t>
        </is>
      </c>
      <c r="F64" t="inlineStr">
        <is>
          <t>No</t>
        </is>
      </c>
      <c r="G64" t="inlineStr">
        <is>
          <t>1</t>
        </is>
      </c>
      <c r="H64" t="inlineStr">
        <is>
          <t>No</t>
        </is>
      </c>
      <c r="I64" t="inlineStr">
        <is>
          <t>No</t>
        </is>
      </c>
      <c r="J64" t="inlineStr">
        <is>
          <t>0</t>
        </is>
      </c>
      <c r="K64" t="inlineStr">
        <is>
          <t>David, A. Rosalie (Ann Rosalie)</t>
        </is>
      </c>
      <c r="L64" t="inlineStr">
        <is>
          <t>Warminster : Aris and Phillips, 1981.</t>
        </is>
      </c>
      <c r="M64" t="inlineStr">
        <is>
          <t>1981</t>
        </is>
      </c>
      <c r="O64" t="inlineStr">
        <is>
          <t>eng</t>
        </is>
      </c>
      <c r="P64" t="inlineStr">
        <is>
          <t>enk</t>
        </is>
      </c>
      <c r="Q64" t="inlineStr">
        <is>
          <t>Modern Egyptology series</t>
        </is>
      </c>
      <c r="R64" t="inlineStr">
        <is>
          <t xml:space="preserve">NA </t>
        </is>
      </c>
      <c r="S64" t="n">
        <v>1</v>
      </c>
      <c r="T64" t="n">
        <v>1</v>
      </c>
      <c r="U64" t="inlineStr">
        <is>
          <t>1992-11-24</t>
        </is>
      </c>
      <c r="V64" t="inlineStr">
        <is>
          <t>1992-11-24</t>
        </is>
      </c>
      <c r="W64" t="inlineStr">
        <is>
          <t>1992-03-17</t>
        </is>
      </c>
      <c r="X64" t="inlineStr">
        <is>
          <t>1992-03-17</t>
        </is>
      </c>
      <c r="Y64" t="n">
        <v>178</v>
      </c>
      <c r="Z64" t="n">
        <v>119</v>
      </c>
      <c r="AA64" t="n">
        <v>119</v>
      </c>
      <c r="AB64" t="n">
        <v>2</v>
      </c>
      <c r="AC64" t="n">
        <v>2</v>
      </c>
      <c r="AD64" t="n">
        <v>5</v>
      </c>
      <c r="AE64" t="n">
        <v>5</v>
      </c>
      <c r="AF64" t="n">
        <v>1</v>
      </c>
      <c r="AG64" t="n">
        <v>1</v>
      </c>
      <c r="AH64" t="n">
        <v>0</v>
      </c>
      <c r="AI64" t="n">
        <v>0</v>
      </c>
      <c r="AJ64" t="n">
        <v>4</v>
      </c>
      <c r="AK64" t="n">
        <v>4</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HYPERLINK("https://creighton-primo.hosted.exlibrisgroup.com/primo-explore/search?tab=default_tab&amp;search_scope=EVERYTHING&amp;vid=01CRU&amp;lang=en_US&amp;offset=0&amp;query=any,contains,991005228689702656","Catalog Record")</f>
        <v/>
      </c>
      <c r="AT64">
        <f>HYPERLINK("http://www.worldcat.org/oclc/8301957","WorldCat Record")</f>
        <v/>
      </c>
      <c r="AU64" t="inlineStr">
        <is>
          <t>510881:eng</t>
        </is>
      </c>
      <c r="AV64" t="inlineStr">
        <is>
          <t>8301957</t>
        </is>
      </c>
      <c r="AW64" t="inlineStr">
        <is>
          <t>991005228689702656</t>
        </is>
      </c>
      <c r="AX64" t="inlineStr">
        <is>
          <t>991005228689702656</t>
        </is>
      </c>
      <c r="AY64" t="inlineStr">
        <is>
          <t>2271434650002656</t>
        </is>
      </c>
      <c r="AZ64" t="inlineStr">
        <is>
          <t>BOOK</t>
        </is>
      </c>
      <c r="BB64" t="inlineStr">
        <is>
          <t>9780856680601</t>
        </is>
      </c>
      <c r="BC64" t="inlineStr">
        <is>
          <t>32285000949874</t>
        </is>
      </c>
      <c r="BD64" t="inlineStr">
        <is>
          <t>893707484</t>
        </is>
      </c>
    </row>
    <row r="65">
      <c r="A65" t="inlineStr">
        <is>
          <t>No</t>
        </is>
      </c>
      <c r="B65" t="inlineStr">
        <is>
          <t>NA2500 .F73 1991</t>
        </is>
      </c>
      <c r="C65" t="inlineStr">
        <is>
          <t>0                      NA 2500000F  73          1991</t>
        </is>
      </c>
      <c r="D65" t="inlineStr">
        <is>
          <t>Monsters of architecture : anthropomorphism in architectural theory / Marco Frascari.</t>
        </is>
      </c>
      <c r="F65" t="inlineStr">
        <is>
          <t>No</t>
        </is>
      </c>
      <c r="G65" t="inlineStr">
        <is>
          <t>1</t>
        </is>
      </c>
      <c r="H65" t="inlineStr">
        <is>
          <t>No</t>
        </is>
      </c>
      <c r="I65" t="inlineStr">
        <is>
          <t>No</t>
        </is>
      </c>
      <c r="J65" t="inlineStr">
        <is>
          <t>0</t>
        </is>
      </c>
      <c r="K65" t="inlineStr">
        <is>
          <t>Frascari, Marco.</t>
        </is>
      </c>
      <c r="L65" t="inlineStr">
        <is>
          <t>Savage, Md. : Rowman &amp; Littlefield, c1991.</t>
        </is>
      </c>
      <c r="M65" t="inlineStr">
        <is>
          <t>1991</t>
        </is>
      </c>
      <c r="O65" t="inlineStr">
        <is>
          <t>eng</t>
        </is>
      </c>
      <c r="P65" t="inlineStr">
        <is>
          <t>mdu</t>
        </is>
      </c>
      <c r="R65" t="inlineStr">
        <is>
          <t xml:space="preserve">NA </t>
        </is>
      </c>
      <c r="S65" t="n">
        <v>1</v>
      </c>
      <c r="T65" t="n">
        <v>1</v>
      </c>
      <c r="U65" t="inlineStr">
        <is>
          <t>1992-08-19</t>
        </is>
      </c>
      <c r="V65" t="inlineStr">
        <is>
          <t>1992-08-19</t>
        </is>
      </c>
      <c r="W65" t="inlineStr">
        <is>
          <t>1992-02-27</t>
        </is>
      </c>
      <c r="X65" t="inlineStr">
        <is>
          <t>1992-02-27</t>
        </is>
      </c>
      <c r="Y65" t="n">
        <v>216</v>
      </c>
      <c r="Z65" t="n">
        <v>174</v>
      </c>
      <c r="AA65" t="n">
        <v>178</v>
      </c>
      <c r="AB65" t="n">
        <v>2</v>
      </c>
      <c r="AC65" t="n">
        <v>2</v>
      </c>
      <c r="AD65" t="n">
        <v>5</v>
      </c>
      <c r="AE65" t="n">
        <v>5</v>
      </c>
      <c r="AF65" t="n">
        <v>2</v>
      </c>
      <c r="AG65" t="n">
        <v>2</v>
      </c>
      <c r="AH65" t="n">
        <v>1</v>
      </c>
      <c r="AI65" t="n">
        <v>1</v>
      </c>
      <c r="AJ65" t="n">
        <v>2</v>
      </c>
      <c r="AK65" t="n">
        <v>2</v>
      </c>
      <c r="AL65" t="n">
        <v>1</v>
      </c>
      <c r="AM65" t="n">
        <v>1</v>
      </c>
      <c r="AN65" t="n">
        <v>0</v>
      </c>
      <c r="AO65" t="n">
        <v>0</v>
      </c>
      <c r="AP65" t="inlineStr">
        <is>
          <t>No</t>
        </is>
      </c>
      <c r="AQ65" t="inlineStr">
        <is>
          <t>Yes</t>
        </is>
      </c>
      <c r="AR65">
        <f>HYPERLINK("http://catalog.hathitrust.org/Record/002454872","HathiTrust Record")</f>
        <v/>
      </c>
      <c r="AS65">
        <f>HYPERLINK("https://creighton-primo.hosted.exlibrisgroup.com/primo-explore/search?tab=default_tab&amp;search_scope=EVERYTHING&amp;vid=01CRU&amp;lang=en_US&amp;offset=0&amp;query=any,contains,991001673139702656","Catalog Record")</f>
        <v/>
      </c>
      <c r="AT65">
        <f>HYPERLINK("http://www.worldcat.org/oclc/21301823","WorldCat Record")</f>
        <v/>
      </c>
      <c r="AU65" t="inlineStr">
        <is>
          <t>836737542:eng</t>
        </is>
      </c>
      <c r="AV65" t="inlineStr">
        <is>
          <t>21301823</t>
        </is>
      </c>
      <c r="AW65" t="inlineStr">
        <is>
          <t>991001673139702656</t>
        </is>
      </c>
      <c r="AX65" t="inlineStr">
        <is>
          <t>991001673139702656</t>
        </is>
      </c>
      <c r="AY65" t="inlineStr">
        <is>
          <t>2261904910002656</t>
        </is>
      </c>
      <c r="AZ65" t="inlineStr">
        <is>
          <t>BOOK</t>
        </is>
      </c>
      <c r="BB65" t="inlineStr">
        <is>
          <t>9780847676583</t>
        </is>
      </c>
      <c r="BC65" t="inlineStr">
        <is>
          <t>32285000937077</t>
        </is>
      </c>
      <c r="BD65" t="inlineStr">
        <is>
          <t>893596622</t>
        </is>
      </c>
    </row>
    <row r="66">
      <c r="A66" t="inlineStr">
        <is>
          <t>No</t>
        </is>
      </c>
      <c r="B66" t="inlineStr">
        <is>
          <t>NA2500 .H8 1969</t>
        </is>
      </c>
      <c r="C66" t="inlineStr">
        <is>
          <t>0                      NA 2500000H  8           1969</t>
        </is>
      </c>
      <c r="D66" t="inlineStr">
        <is>
          <t>Architecture and the spirit of man.</t>
        </is>
      </c>
      <c r="F66" t="inlineStr">
        <is>
          <t>No</t>
        </is>
      </c>
      <c r="G66" t="inlineStr">
        <is>
          <t>1</t>
        </is>
      </c>
      <c r="H66" t="inlineStr">
        <is>
          <t>No</t>
        </is>
      </c>
      <c r="I66" t="inlineStr">
        <is>
          <t>No</t>
        </is>
      </c>
      <c r="J66" t="inlineStr">
        <is>
          <t>0</t>
        </is>
      </c>
      <c r="K66" t="inlineStr">
        <is>
          <t>Hudnut, Joseph, 1886-1968.</t>
        </is>
      </c>
      <c r="L66" t="inlineStr">
        <is>
          <t>New York, Greenwood Press [1969, c1949]</t>
        </is>
      </c>
      <c r="M66" t="inlineStr">
        <is>
          <t>1969</t>
        </is>
      </c>
      <c r="O66" t="inlineStr">
        <is>
          <t>eng</t>
        </is>
      </c>
      <c r="P66" t="inlineStr">
        <is>
          <t>nyu</t>
        </is>
      </c>
      <c r="R66" t="inlineStr">
        <is>
          <t xml:space="preserve">NA </t>
        </is>
      </c>
      <c r="S66" t="n">
        <v>1</v>
      </c>
      <c r="T66" t="n">
        <v>1</v>
      </c>
      <c r="U66" t="inlineStr">
        <is>
          <t>2000-11-27</t>
        </is>
      </c>
      <c r="V66" t="inlineStr">
        <is>
          <t>2000-11-27</t>
        </is>
      </c>
      <c r="W66" t="inlineStr">
        <is>
          <t>1997-07-01</t>
        </is>
      </c>
      <c r="X66" t="inlineStr">
        <is>
          <t>1997-07-01</t>
        </is>
      </c>
      <c r="Y66" t="n">
        <v>183</v>
      </c>
      <c r="Z66" t="n">
        <v>163</v>
      </c>
      <c r="AA66" t="n">
        <v>166</v>
      </c>
      <c r="AB66" t="n">
        <v>3</v>
      </c>
      <c r="AC66" t="n">
        <v>3</v>
      </c>
      <c r="AD66" t="n">
        <v>12</v>
      </c>
      <c r="AE66" t="n">
        <v>12</v>
      </c>
      <c r="AF66" t="n">
        <v>2</v>
      </c>
      <c r="AG66" t="n">
        <v>2</v>
      </c>
      <c r="AH66" t="n">
        <v>3</v>
      </c>
      <c r="AI66" t="n">
        <v>3</v>
      </c>
      <c r="AJ66" t="n">
        <v>6</v>
      </c>
      <c r="AK66" t="n">
        <v>6</v>
      </c>
      <c r="AL66" t="n">
        <v>2</v>
      </c>
      <c r="AM66" t="n">
        <v>2</v>
      </c>
      <c r="AN66" t="n">
        <v>0</v>
      </c>
      <c r="AO66" t="n">
        <v>0</v>
      </c>
      <c r="AP66" t="inlineStr">
        <is>
          <t>No</t>
        </is>
      </c>
      <c r="AQ66" t="inlineStr">
        <is>
          <t>No</t>
        </is>
      </c>
      <c r="AS66">
        <f>HYPERLINK("https://creighton-primo.hosted.exlibrisgroup.com/primo-explore/search?tab=default_tab&amp;search_scope=EVERYTHING&amp;vid=01CRU&amp;lang=en_US&amp;offset=0&amp;query=any,contains,991000146849702656","Catalog Record")</f>
        <v/>
      </c>
      <c r="AT66">
        <f>HYPERLINK("http://www.worldcat.org/oclc/59032","WorldCat Record")</f>
        <v/>
      </c>
      <c r="AU66" t="inlineStr">
        <is>
          <t>1198301:eng</t>
        </is>
      </c>
      <c r="AV66" t="inlineStr">
        <is>
          <t>59032</t>
        </is>
      </c>
      <c r="AW66" t="inlineStr">
        <is>
          <t>991000146849702656</t>
        </is>
      </c>
      <c r="AX66" t="inlineStr">
        <is>
          <t>991000146849702656</t>
        </is>
      </c>
      <c r="AY66" t="inlineStr">
        <is>
          <t>2260552230002656</t>
        </is>
      </c>
      <c r="AZ66" t="inlineStr">
        <is>
          <t>BOOK</t>
        </is>
      </c>
      <c r="BB66" t="inlineStr">
        <is>
          <t>9780837125763</t>
        </is>
      </c>
      <c r="BC66" t="inlineStr">
        <is>
          <t>32285002862059</t>
        </is>
      </c>
      <c r="BD66" t="inlineStr">
        <is>
          <t>893333247</t>
        </is>
      </c>
    </row>
    <row r="67">
      <c r="A67" t="inlineStr">
        <is>
          <t>No</t>
        </is>
      </c>
      <c r="B67" t="inlineStr">
        <is>
          <t>NA2500 .S43</t>
        </is>
      </c>
      <c r="C67" t="inlineStr">
        <is>
          <t>0                      NA 2500000S  43</t>
        </is>
      </c>
      <c r="D67" t="inlineStr">
        <is>
          <t>The aesthetics of architecture / Roger Scruton.</t>
        </is>
      </c>
      <c r="F67" t="inlineStr">
        <is>
          <t>No</t>
        </is>
      </c>
      <c r="G67" t="inlineStr">
        <is>
          <t>1</t>
        </is>
      </c>
      <c r="H67" t="inlineStr">
        <is>
          <t>No</t>
        </is>
      </c>
      <c r="I67" t="inlineStr">
        <is>
          <t>No</t>
        </is>
      </c>
      <c r="J67" t="inlineStr">
        <is>
          <t>0</t>
        </is>
      </c>
      <c r="K67" t="inlineStr">
        <is>
          <t>Scruton, Roger.</t>
        </is>
      </c>
      <c r="L67" t="inlineStr">
        <is>
          <t>Princeton, N.J. : Princeton University Press, c1979.</t>
        </is>
      </c>
      <c r="M67" t="inlineStr">
        <is>
          <t>1979</t>
        </is>
      </c>
      <c r="O67" t="inlineStr">
        <is>
          <t>eng</t>
        </is>
      </c>
      <c r="P67" t="inlineStr">
        <is>
          <t>nju</t>
        </is>
      </c>
      <c r="Q67" t="inlineStr">
        <is>
          <t>Princeton essays on the arts ; 8</t>
        </is>
      </c>
      <c r="R67" t="inlineStr">
        <is>
          <t xml:space="preserve">NA </t>
        </is>
      </c>
      <c r="S67" t="n">
        <v>1</v>
      </c>
      <c r="T67" t="n">
        <v>1</v>
      </c>
      <c r="U67" t="inlineStr">
        <is>
          <t>2002-05-02</t>
        </is>
      </c>
      <c r="V67" t="inlineStr">
        <is>
          <t>2002-05-02</t>
        </is>
      </c>
      <c r="W67" t="inlineStr">
        <is>
          <t>1992-08-31</t>
        </is>
      </c>
      <c r="X67" t="inlineStr">
        <is>
          <t>1992-08-31</t>
        </is>
      </c>
      <c r="Y67" t="n">
        <v>754</v>
      </c>
      <c r="Z67" t="n">
        <v>636</v>
      </c>
      <c r="AA67" t="n">
        <v>703</v>
      </c>
      <c r="AB67" t="n">
        <v>1</v>
      </c>
      <c r="AC67" t="n">
        <v>3</v>
      </c>
      <c r="AD67" t="n">
        <v>30</v>
      </c>
      <c r="AE67" t="n">
        <v>34</v>
      </c>
      <c r="AF67" t="n">
        <v>15</v>
      </c>
      <c r="AG67" t="n">
        <v>17</v>
      </c>
      <c r="AH67" t="n">
        <v>8</v>
      </c>
      <c r="AI67" t="n">
        <v>8</v>
      </c>
      <c r="AJ67" t="n">
        <v>18</v>
      </c>
      <c r="AK67" t="n">
        <v>19</v>
      </c>
      <c r="AL67" t="n">
        <v>0</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HYPERLINK("https://creighton-primo.hosted.exlibrisgroup.com/primo-explore/search?tab=default_tab&amp;search_scope=EVERYTHING&amp;vid=01CRU&amp;lang=en_US&amp;offset=0&amp;query=any,contains,991004807599702656","Catalog Record")</f>
        <v/>
      </c>
      <c r="AT67">
        <f>HYPERLINK("http://www.worldcat.org/oclc/5263685","WorldCat Record")</f>
        <v/>
      </c>
      <c r="AU67" t="inlineStr">
        <is>
          <t>440567:eng</t>
        </is>
      </c>
      <c r="AV67" t="inlineStr">
        <is>
          <t>5263685</t>
        </is>
      </c>
      <c r="AW67" t="inlineStr">
        <is>
          <t>991004807599702656</t>
        </is>
      </c>
      <c r="AX67" t="inlineStr">
        <is>
          <t>991004807599702656</t>
        </is>
      </c>
      <c r="AY67" t="inlineStr">
        <is>
          <t>2256381930002656</t>
        </is>
      </c>
      <c r="AZ67" t="inlineStr">
        <is>
          <t>BOOK</t>
        </is>
      </c>
      <c r="BB67" t="inlineStr">
        <is>
          <t>9780691003221</t>
        </is>
      </c>
      <c r="BC67" t="inlineStr">
        <is>
          <t>32285001284313</t>
        </is>
      </c>
      <c r="BD67" t="inlineStr">
        <is>
          <t>893870137</t>
        </is>
      </c>
    </row>
    <row r="68">
      <c r="A68" t="inlineStr">
        <is>
          <t>No</t>
        </is>
      </c>
      <c r="B68" t="inlineStr">
        <is>
          <t>NA2515 .P253 1965</t>
        </is>
      </c>
      <c r="C68" t="inlineStr">
        <is>
          <t>0                      NA 2515000P  253         1965</t>
        </is>
      </c>
      <c r="D68" t="inlineStr">
        <is>
          <t>The four books of architecture / with a new introd. by Adolf K. Placzek.</t>
        </is>
      </c>
      <c r="F68" t="inlineStr">
        <is>
          <t>No</t>
        </is>
      </c>
      <c r="G68" t="inlineStr">
        <is>
          <t>1</t>
        </is>
      </c>
      <c r="H68" t="inlineStr">
        <is>
          <t>No</t>
        </is>
      </c>
      <c r="I68" t="inlineStr">
        <is>
          <t>No</t>
        </is>
      </c>
      <c r="J68" t="inlineStr">
        <is>
          <t>0</t>
        </is>
      </c>
      <c r="K68" t="inlineStr">
        <is>
          <t>Palladio, Andrea, 1508-1580.</t>
        </is>
      </c>
      <c r="L68" t="inlineStr">
        <is>
          <t>New York : Dover Publications, [1965]</t>
        </is>
      </c>
      <c r="M68" t="inlineStr">
        <is>
          <t>1965</t>
        </is>
      </c>
      <c r="O68" t="inlineStr">
        <is>
          <t>eng</t>
        </is>
      </c>
      <c r="P68" t="inlineStr">
        <is>
          <t>nyu</t>
        </is>
      </c>
      <c r="R68" t="inlineStr">
        <is>
          <t xml:space="preserve">NA </t>
        </is>
      </c>
      <c r="S68" t="n">
        <v>1</v>
      </c>
      <c r="T68" t="n">
        <v>1</v>
      </c>
      <c r="U68" t="inlineStr">
        <is>
          <t>2001-04-02</t>
        </is>
      </c>
      <c r="V68" t="inlineStr">
        <is>
          <t>2001-04-02</t>
        </is>
      </c>
      <c r="W68" t="inlineStr">
        <is>
          <t>1993-01-08</t>
        </is>
      </c>
      <c r="X68" t="inlineStr">
        <is>
          <t>1993-01-08</t>
        </is>
      </c>
      <c r="Y68" t="n">
        <v>1313</v>
      </c>
      <c r="Z68" t="n">
        <v>1138</v>
      </c>
      <c r="AA68" t="n">
        <v>1201</v>
      </c>
      <c r="AB68" t="n">
        <v>4</v>
      </c>
      <c r="AC68" t="n">
        <v>4</v>
      </c>
      <c r="AD68" t="n">
        <v>39</v>
      </c>
      <c r="AE68" t="n">
        <v>40</v>
      </c>
      <c r="AF68" t="n">
        <v>18</v>
      </c>
      <c r="AG68" t="n">
        <v>19</v>
      </c>
      <c r="AH68" t="n">
        <v>8</v>
      </c>
      <c r="AI68" t="n">
        <v>8</v>
      </c>
      <c r="AJ68" t="n">
        <v>19</v>
      </c>
      <c r="AK68" t="n">
        <v>19</v>
      </c>
      <c r="AL68" t="n">
        <v>3</v>
      </c>
      <c r="AM68" t="n">
        <v>3</v>
      </c>
      <c r="AN68" t="n">
        <v>0</v>
      </c>
      <c r="AO68" t="n">
        <v>0</v>
      </c>
      <c r="AP68" t="inlineStr">
        <is>
          <t>No</t>
        </is>
      </c>
      <c r="AQ68" t="inlineStr">
        <is>
          <t>Yes</t>
        </is>
      </c>
      <c r="AR68">
        <f>HYPERLINK("http://catalog.hathitrust.org/Record/000561675","HathiTrust Record")</f>
        <v/>
      </c>
      <c r="AS68">
        <f>HYPERLINK("https://creighton-primo.hosted.exlibrisgroup.com/primo-explore/search?tab=default_tab&amp;search_scope=EVERYTHING&amp;vid=01CRU&amp;lang=en_US&amp;offset=0&amp;query=any,contains,991002390999702656","Catalog Record")</f>
        <v/>
      </c>
      <c r="AT68">
        <f>HYPERLINK("http://www.worldcat.org/oclc/332435","WorldCat Record")</f>
        <v/>
      </c>
      <c r="AU68" t="inlineStr">
        <is>
          <t>4495355050:eng</t>
        </is>
      </c>
      <c r="AV68" t="inlineStr">
        <is>
          <t>332435</t>
        </is>
      </c>
      <c r="AW68" t="inlineStr">
        <is>
          <t>991002390999702656</t>
        </is>
      </c>
      <c r="AX68" t="inlineStr">
        <is>
          <t>991002390999702656</t>
        </is>
      </c>
      <c r="AY68" t="inlineStr">
        <is>
          <t>2257759290002656</t>
        </is>
      </c>
      <c r="AZ68" t="inlineStr">
        <is>
          <t>BOOK</t>
        </is>
      </c>
      <c r="BC68" t="inlineStr">
        <is>
          <t>32285001474146</t>
        </is>
      </c>
      <c r="BD68" t="inlineStr">
        <is>
          <t>893597403</t>
        </is>
      </c>
    </row>
    <row r="69">
      <c r="A69" t="inlineStr">
        <is>
          <t>No</t>
        </is>
      </c>
      <c r="B69" t="inlineStr">
        <is>
          <t>NA2520 .S37 1991</t>
        </is>
      </c>
      <c r="C69" t="inlineStr">
        <is>
          <t>0                      NA 2520000S  37          1991</t>
        </is>
      </c>
      <c r="D69" t="inlineStr">
        <is>
          <t>Architecture : the natural and the manmade / Vincent Scully.</t>
        </is>
      </c>
      <c r="F69" t="inlineStr">
        <is>
          <t>No</t>
        </is>
      </c>
      <c r="G69" t="inlineStr">
        <is>
          <t>1</t>
        </is>
      </c>
      <c r="H69" t="inlineStr">
        <is>
          <t>No</t>
        </is>
      </c>
      <c r="I69" t="inlineStr">
        <is>
          <t>No</t>
        </is>
      </c>
      <c r="J69" t="inlineStr">
        <is>
          <t>0</t>
        </is>
      </c>
      <c r="K69" t="inlineStr">
        <is>
          <t>Scully, Vincent, Jr., 1920-2017.</t>
        </is>
      </c>
      <c r="L69" t="inlineStr">
        <is>
          <t>New York : St. Martin's Press, 1991.</t>
        </is>
      </c>
      <c r="M69" t="inlineStr">
        <is>
          <t>1991</t>
        </is>
      </c>
      <c r="N69" t="inlineStr">
        <is>
          <t>1st ed.</t>
        </is>
      </c>
      <c r="O69" t="inlineStr">
        <is>
          <t>eng</t>
        </is>
      </c>
      <c r="P69" t="inlineStr">
        <is>
          <t>nyu</t>
        </is>
      </c>
      <c r="R69" t="inlineStr">
        <is>
          <t xml:space="preserve">NA </t>
        </is>
      </c>
      <c r="S69" t="n">
        <v>5</v>
      </c>
      <c r="T69" t="n">
        <v>5</v>
      </c>
      <c r="U69" t="inlineStr">
        <is>
          <t>1994-01-20</t>
        </is>
      </c>
      <c r="V69" t="inlineStr">
        <is>
          <t>1994-01-20</t>
        </is>
      </c>
      <c r="W69" t="inlineStr">
        <is>
          <t>1992-04-23</t>
        </is>
      </c>
      <c r="X69" t="inlineStr">
        <is>
          <t>1992-04-23</t>
        </is>
      </c>
      <c r="Y69" t="n">
        <v>1369</v>
      </c>
      <c r="Z69" t="n">
        <v>1219</v>
      </c>
      <c r="AA69" t="n">
        <v>1293</v>
      </c>
      <c r="AB69" t="n">
        <v>8</v>
      </c>
      <c r="AC69" t="n">
        <v>9</v>
      </c>
      <c r="AD69" t="n">
        <v>39</v>
      </c>
      <c r="AE69" t="n">
        <v>40</v>
      </c>
      <c r="AF69" t="n">
        <v>15</v>
      </c>
      <c r="AG69" t="n">
        <v>15</v>
      </c>
      <c r="AH69" t="n">
        <v>9</v>
      </c>
      <c r="AI69" t="n">
        <v>9</v>
      </c>
      <c r="AJ69" t="n">
        <v>18</v>
      </c>
      <c r="AK69" t="n">
        <v>19</v>
      </c>
      <c r="AL69" t="n">
        <v>6</v>
      </c>
      <c r="AM69" t="n">
        <v>6</v>
      </c>
      <c r="AN69" t="n">
        <v>0</v>
      </c>
      <c r="AO69" t="n">
        <v>0</v>
      </c>
      <c r="AP69" t="inlineStr">
        <is>
          <t>No</t>
        </is>
      </c>
      <c r="AQ69" t="inlineStr">
        <is>
          <t>No</t>
        </is>
      </c>
      <c r="AS69">
        <f>HYPERLINK("https://creighton-primo.hosted.exlibrisgroup.com/primo-explore/search?tab=default_tab&amp;search_scope=EVERYTHING&amp;vid=01CRU&amp;lang=en_US&amp;offset=0&amp;query=any,contains,991001892459702656","Catalog Record")</f>
        <v/>
      </c>
      <c r="AT69">
        <f>HYPERLINK("http://www.worldcat.org/oclc/23900932","WorldCat Record")</f>
        <v/>
      </c>
      <c r="AU69" t="inlineStr">
        <is>
          <t>24813412:eng</t>
        </is>
      </c>
      <c r="AV69" t="inlineStr">
        <is>
          <t>23900932</t>
        </is>
      </c>
      <c r="AW69" t="inlineStr">
        <is>
          <t>991001892459702656</t>
        </is>
      </c>
      <c r="AX69" t="inlineStr">
        <is>
          <t>991001892459702656</t>
        </is>
      </c>
      <c r="AY69" t="inlineStr">
        <is>
          <t>2262295530002656</t>
        </is>
      </c>
      <c r="AZ69" t="inlineStr">
        <is>
          <t>BOOK</t>
        </is>
      </c>
      <c r="BB69" t="inlineStr">
        <is>
          <t>9780312062927</t>
        </is>
      </c>
      <c r="BC69" t="inlineStr">
        <is>
          <t>32285001037182</t>
        </is>
      </c>
      <c r="BD69" t="inlineStr">
        <is>
          <t>893791797</t>
        </is>
      </c>
    </row>
    <row r="70">
      <c r="A70" t="inlineStr">
        <is>
          <t>No</t>
        </is>
      </c>
      <c r="B70" t="inlineStr">
        <is>
          <t>NA2542.35 .C48 1993</t>
        </is>
      </c>
      <c r="C70" t="inlineStr">
        <is>
          <t>0                      NA 2542350C  48          1993</t>
        </is>
      </c>
      <c r="D70" t="inlineStr">
        <is>
          <t>Applications of environment-behavior research : case studies and analysis / Paul D. Cherulnik.</t>
        </is>
      </c>
      <c r="F70" t="inlineStr">
        <is>
          <t>No</t>
        </is>
      </c>
      <c r="G70" t="inlineStr">
        <is>
          <t>1</t>
        </is>
      </c>
      <c r="H70" t="inlineStr">
        <is>
          <t>No</t>
        </is>
      </c>
      <c r="I70" t="inlineStr">
        <is>
          <t>No</t>
        </is>
      </c>
      <c r="J70" t="inlineStr">
        <is>
          <t>0</t>
        </is>
      </c>
      <c r="K70" t="inlineStr">
        <is>
          <t>Cherulnik, Paul D., 1941-</t>
        </is>
      </c>
      <c r="L70" t="inlineStr">
        <is>
          <t>Cambridge ; New York : Cambridge University Press, 1993.</t>
        </is>
      </c>
      <c r="M70" t="inlineStr">
        <is>
          <t>1993</t>
        </is>
      </c>
      <c r="O70" t="inlineStr">
        <is>
          <t>eng</t>
        </is>
      </c>
      <c r="P70" t="inlineStr">
        <is>
          <t>enk</t>
        </is>
      </c>
      <c r="Q70" t="inlineStr">
        <is>
          <t>Cambridge series in environment and behavior</t>
        </is>
      </c>
      <c r="R70" t="inlineStr">
        <is>
          <t xml:space="preserve">NA </t>
        </is>
      </c>
      <c r="S70" t="n">
        <v>2</v>
      </c>
      <c r="T70" t="n">
        <v>2</v>
      </c>
      <c r="U70" t="inlineStr">
        <is>
          <t>1996-09-20</t>
        </is>
      </c>
      <c r="V70" t="inlineStr">
        <is>
          <t>1996-09-20</t>
        </is>
      </c>
      <c r="W70" t="inlineStr">
        <is>
          <t>1995-07-14</t>
        </is>
      </c>
      <c r="X70" t="inlineStr">
        <is>
          <t>1995-07-14</t>
        </is>
      </c>
      <c r="Y70" t="n">
        <v>305</v>
      </c>
      <c r="Z70" t="n">
        <v>204</v>
      </c>
      <c r="AA70" t="n">
        <v>210</v>
      </c>
      <c r="AB70" t="n">
        <v>2</v>
      </c>
      <c r="AC70" t="n">
        <v>2</v>
      </c>
      <c r="AD70" t="n">
        <v>7</v>
      </c>
      <c r="AE70" t="n">
        <v>7</v>
      </c>
      <c r="AF70" t="n">
        <v>1</v>
      </c>
      <c r="AG70" t="n">
        <v>1</v>
      </c>
      <c r="AH70" t="n">
        <v>2</v>
      </c>
      <c r="AI70" t="n">
        <v>2</v>
      </c>
      <c r="AJ70" t="n">
        <v>5</v>
      </c>
      <c r="AK70" t="n">
        <v>5</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HYPERLINK("https://creighton-primo.hosted.exlibrisgroup.com/primo-explore/search?tab=default_tab&amp;search_scope=EVERYTHING&amp;vid=01CRU&amp;lang=en_US&amp;offset=0&amp;query=any,contains,991002138909702656","Catalog Record")</f>
        <v/>
      </c>
      <c r="AT70">
        <f>HYPERLINK("http://www.worldcat.org/oclc/27430375","WorldCat Record")</f>
        <v/>
      </c>
      <c r="AU70" t="inlineStr">
        <is>
          <t>836920491:eng</t>
        </is>
      </c>
      <c r="AV70" t="inlineStr">
        <is>
          <t>27430375</t>
        </is>
      </c>
      <c r="AW70" t="inlineStr">
        <is>
          <t>991002138909702656</t>
        </is>
      </c>
      <c r="AX70" t="inlineStr">
        <is>
          <t>991002138909702656</t>
        </is>
      </c>
      <c r="AY70" t="inlineStr">
        <is>
          <t>2266132880002656</t>
        </is>
      </c>
      <c r="AZ70" t="inlineStr">
        <is>
          <t>BOOK</t>
        </is>
      </c>
      <c r="BB70" t="inlineStr">
        <is>
          <t>9780521331890</t>
        </is>
      </c>
      <c r="BC70" t="inlineStr">
        <is>
          <t>32285002054848</t>
        </is>
      </c>
      <c r="BD70" t="inlineStr">
        <is>
          <t>893510343</t>
        </is>
      </c>
    </row>
    <row r="71">
      <c r="A71" t="inlineStr">
        <is>
          <t>No</t>
        </is>
      </c>
      <c r="B71" t="inlineStr">
        <is>
          <t>NA2542.35 .K86 1993</t>
        </is>
      </c>
      <c r="C71" t="inlineStr">
        <is>
          <t>0                      NA 2542350K  86          1993</t>
        </is>
      </c>
      <c r="D71" t="inlineStr">
        <is>
          <t>The geography of nowhere : the rise and decline of America's man-made landscape / James Howard Kunstler.</t>
        </is>
      </c>
      <c r="F71" t="inlineStr">
        <is>
          <t>No</t>
        </is>
      </c>
      <c r="G71" t="inlineStr">
        <is>
          <t>1</t>
        </is>
      </c>
      <c r="H71" t="inlineStr">
        <is>
          <t>No</t>
        </is>
      </c>
      <c r="I71" t="inlineStr">
        <is>
          <t>No</t>
        </is>
      </c>
      <c r="J71" t="inlineStr">
        <is>
          <t>0</t>
        </is>
      </c>
      <c r="K71" t="inlineStr">
        <is>
          <t>Kunstler, James Howard.</t>
        </is>
      </c>
      <c r="L71" t="inlineStr">
        <is>
          <t>New York : Simon &amp; Schuster, c1993.</t>
        </is>
      </c>
      <c r="M71" t="inlineStr">
        <is>
          <t>1993</t>
        </is>
      </c>
      <c r="O71" t="inlineStr">
        <is>
          <t>eng</t>
        </is>
      </c>
      <c r="P71" t="inlineStr">
        <is>
          <t>nyu</t>
        </is>
      </c>
      <c r="R71" t="inlineStr">
        <is>
          <t xml:space="preserve">NA </t>
        </is>
      </c>
      <c r="S71" t="n">
        <v>11</v>
      </c>
      <c r="T71" t="n">
        <v>11</v>
      </c>
      <c r="U71" t="inlineStr">
        <is>
          <t>2008-04-08</t>
        </is>
      </c>
      <c r="V71" t="inlineStr">
        <is>
          <t>2008-04-08</t>
        </is>
      </c>
      <c r="W71" t="inlineStr">
        <is>
          <t>1993-06-09</t>
        </is>
      </c>
      <c r="X71" t="inlineStr">
        <is>
          <t>1993-06-09</t>
        </is>
      </c>
      <c r="Y71" t="n">
        <v>957</v>
      </c>
      <c r="Z71" t="n">
        <v>863</v>
      </c>
      <c r="AA71" t="n">
        <v>1295</v>
      </c>
      <c r="AB71" t="n">
        <v>6</v>
      </c>
      <c r="AC71" t="n">
        <v>9</v>
      </c>
      <c r="AD71" t="n">
        <v>26</v>
      </c>
      <c r="AE71" t="n">
        <v>39</v>
      </c>
      <c r="AF71" t="n">
        <v>10</v>
      </c>
      <c r="AG71" t="n">
        <v>15</v>
      </c>
      <c r="AH71" t="n">
        <v>6</v>
      </c>
      <c r="AI71" t="n">
        <v>8</v>
      </c>
      <c r="AJ71" t="n">
        <v>15</v>
      </c>
      <c r="AK71" t="n">
        <v>19</v>
      </c>
      <c r="AL71" t="n">
        <v>3</v>
      </c>
      <c r="AM71" t="n">
        <v>6</v>
      </c>
      <c r="AN71" t="n">
        <v>2</v>
      </c>
      <c r="AO71" t="n">
        <v>2</v>
      </c>
      <c r="AP71" t="inlineStr">
        <is>
          <t>No</t>
        </is>
      </c>
      <c r="AQ71" t="inlineStr">
        <is>
          <t>Yes</t>
        </is>
      </c>
      <c r="AR71">
        <f>HYPERLINK("http://catalog.hathitrust.org/Record/002641082","HathiTrust Record")</f>
        <v/>
      </c>
      <c r="AS71">
        <f>HYPERLINK("https://creighton-primo.hosted.exlibrisgroup.com/primo-explore/search?tab=default_tab&amp;search_scope=EVERYTHING&amp;vid=01CRU&amp;lang=en_US&amp;offset=0&amp;query=any,contains,991002151519702656","Catalog Record")</f>
        <v/>
      </c>
      <c r="AT71">
        <f>HYPERLINK("http://www.worldcat.org/oclc/27726774","WorldCat Record")</f>
        <v/>
      </c>
      <c r="AU71" t="inlineStr">
        <is>
          <t>795693574:eng</t>
        </is>
      </c>
      <c r="AV71" t="inlineStr">
        <is>
          <t>27726774</t>
        </is>
      </c>
      <c r="AW71" t="inlineStr">
        <is>
          <t>991002151519702656</t>
        </is>
      </c>
      <c r="AX71" t="inlineStr">
        <is>
          <t>991002151519702656</t>
        </is>
      </c>
      <c r="AY71" t="inlineStr">
        <is>
          <t>2265020160002656</t>
        </is>
      </c>
      <c r="AZ71" t="inlineStr">
        <is>
          <t>BOOK</t>
        </is>
      </c>
      <c r="BB71" t="inlineStr">
        <is>
          <t>9780671707743</t>
        </is>
      </c>
      <c r="BC71" t="inlineStr">
        <is>
          <t>32285001584829</t>
        </is>
      </c>
      <c r="BD71" t="inlineStr">
        <is>
          <t>893427248</t>
        </is>
      </c>
    </row>
    <row r="72">
      <c r="A72" t="inlineStr">
        <is>
          <t>No</t>
        </is>
      </c>
      <c r="B72" t="inlineStr">
        <is>
          <t>NA2542.35 .M47 1987</t>
        </is>
      </c>
      <c r="C72" t="inlineStr">
        <is>
          <t>0                      NA 2542350M  47          1987</t>
        </is>
      </c>
      <c r="D72" t="inlineStr">
        <is>
          <t>Man made the town / Michael Middleton.</t>
        </is>
      </c>
      <c r="F72" t="inlineStr">
        <is>
          <t>No</t>
        </is>
      </c>
      <c r="G72" t="inlineStr">
        <is>
          <t>1</t>
        </is>
      </c>
      <c r="H72" t="inlineStr">
        <is>
          <t>No</t>
        </is>
      </c>
      <c r="I72" t="inlineStr">
        <is>
          <t>No</t>
        </is>
      </c>
      <c r="J72" t="inlineStr">
        <is>
          <t>0</t>
        </is>
      </c>
      <c r="K72" t="inlineStr">
        <is>
          <t>Middleton, Michael, 1917-2009.</t>
        </is>
      </c>
      <c r="L72" t="inlineStr">
        <is>
          <t>New York : St. Martin's Press, c1987.</t>
        </is>
      </c>
      <c r="M72" t="inlineStr">
        <is>
          <t>1987</t>
        </is>
      </c>
      <c r="N72" t="inlineStr">
        <is>
          <t>1st U.S. ed.</t>
        </is>
      </c>
      <c r="O72" t="inlineStr">
        <is>
          <t>eng</t>
        </is>
      </c>
      <c r="P72" t="inlineStr">
        <is>
          <t>nyu</t>
        </is>
      </c>
      <c r="R72" t="inlineStr">
        <is>
          <t xml:space="preserve">NA </t>
        </is>
      </c>
      <c r="S72" t="n">
        <v>1</v>
      </c>
      <c r="T72" t="n">
        <v>1</v>
      </c>
      <c r="U72" t="inlineStr">
        <is>
          <t>2004-11-18</t>
        </is>
      </c>
      <c r="V72" t="inlineStr">
        <is>
          <t>2004-11-18</t>
        </is>
      </c>
      <c r="W72" t="inlineStr">
        <is>
          <t>2004-11-18</t>
        </is>
      </c>
      <c r="X72" t="inlineStr">
        <is>
          <t>2004-11-18</t>
        </is>
      </c>
      <c r="Y72" t="n">
        <v>183</v>
      </c>
      <c r="Z72" t="n">
        <v>171</v>
      </c>
      <c r="AA72" t="n">
        <v>222</v>
      </c>
      <c r="AB72" t="n">
        <v>1</v>
      </c>
      <c r="AC72" t="n">
        <v>2</v>
      </c>
      <c r="AD72" t="n">
        <v>6</v>
      </c>
      <c r="AE72" t="n">
        <v>8</v>
      </c>
      <c r="AF72" t="n">
        <v>2</v>
      </c>
      <c r="AG72" t="n">
        <v>2</v>
      </c>
      <c r="AH72" t="n">
        <v>1</v>
      </c>
      <c r="AI72" t="n">
        <v>1</v>
      </c>
      <c r="AJ72" t="n">
        <v>5</v>
      </c>
      <c r="AK72" t="n">
        <v>6</v>
      </c>
      <c r="AL72" t="n">
        <v>0</v>
      </c>
      <c r="AM72" t="n">
        <v>1</v>
      </c>
      <c r="AN72" t="n">
        <v>0</v>
      </c>
      <c r="AO72" t="n">
        <v>0</v>
      </c>
      <c r="AP72" t="inlineStr">
        <is>
          <t>No</t>
        </is>
      </c>
      <c r="AQ72" t="inlineStr">
        <is>
          <t>Yes</t>
        </is>
      </c>
      <c r="AR72">
        <f>HYPERLINK("http://catalog.hathitrust.org/Record/000885932","HathiTrust Record")</f>
        <v/>
      </c>
      <c r="AS72">
        <f>HYPERLINK("https://creighton-primo.hosted.exlibrisgroup.com/primo-explore/search?tab=default_tab&amp;search_scope=EVERYTHING&amp;vid=01CRU&amp;lang=en_US&amp;offset=0&amp;query=any,contains,991004425249702656","Catalog Record")</f>
        <v/>
      </c>
      <c r="AT72">
        <f>HYPERLINK("http://www.worldcat.org/oclc/18162697","WorldCat Record")</f>
        <v/>
      </c>
      <c r="AU72" t="inlineStr">
        <is>
          <t>317775720:eng</t>
        </is>
      </c>
      <c r="AV72" t="inlineStr">
        <is>
          <t>18162697</t>
        </is>
      </c>
      <c r="AW72" t="inlineStr">
        <is>
          <t>991004425249702656</t>
        </is>
      </c>
      <c r="AX72" t="inlineStr">
        <is>
          <t>991004425249702656</t>
        </is>
      </c>
      <c r="AY72" t="inlineStr">
        <is>
          <t>2260060450002656</t>
        </is>
      </c>
      <c r="AZ72" t="inlineStr">
        <is>
          <t>BOOK</t>
        </is>
      </c>
      <c r="BB72" t="inlineStr">
        <is>
          <t>9780312011697</t>
        </is>
      </c>
      <c r="BC72" t="inlineStr">
        <is>
          <t>32285005011738</t>
        </is>
      </c>
      <c r="BD72" t="inlineStr">
        <is>
          <t>893411524</t>
        </is>
      </c>
    </row>
    <row r="73">
      <c r="A73" t="inlineStr">
        <is>
          <t>No</t>
        </is>
      </c>
      <c r="B73" t="inlineStr">
        <is>
          <t>NA2542.35 .O42 1980</t>
        </is>
      </c>
      <c r="C73" t="inlineStr">
        <is>
          <t>0                      NA 2542350O  42          1980</t>
        </is>
      </c>
      <c r="D73" t="inlineStr">
        <is>
          <t>Old &amp; new architecture : design relationship : from a conference / sponsored by National Trust for Historic Preservation, Latrobe Chapter, Society of Architectural Historians [and] Washington Metropolitan Chapter, American Institute of Architects.</t>
        </is>
      </c>
      <c r="F73" t="inlineStr">
        <is>
          <t>No</t>
        </is>
      </c>
      <c r="G73" t="inlineStr">
        <is>
          <t>1</t>
        </is>
      </c>
      <c r="H73" t="inlineStr">
        <is>
          <t>No</t>
        </is>
      </c>
      <c r="I73" t="inlineStr">
        <is>
          <t>No</t>
        </is>
      </c>
      <c r="J73" t="inlineStr">
        <is>
          <t>0</t>
        </is>
      </c>
      <c r="L73" t="inlineStr">
        <is>
          <t>Washington, D.C. : Preservation Press, National Trust for Historic Preservation, c1980.</t>
        </is>
      </c>
      <c r="M73" t="inlineStr">
        <is>
          <t>1980</t>
        </is>
      </c>
      <c r="O73" t="inlineStr">
        <is>
          <t>eng</t>
        </is>
      </c>
      <c r="P73" t="inlineStr">
        <is>
          <t>dcu</t>
        </is>
      </c>
      <c r="R73" t="inlineStr">
        <is>
          <t xml:space="preserve">NA </t>
        </is>
      </c>
      <c r="S73" t="n">
        <v>3</v>
      </c>
      <c r="T73" t="n">
        <v>3</v>
      </c>
      <c r="U73" t="inlineStr">
        <is>
          <t>2005-10-10</t>
        </is>
      </c>
      <c r="V73" t="inlineStr">
        <is>
          <t>2005-10-10</t>
        </is>
      </c>
      <c r="W73" t="inlineStr">
        <is>
          <t>1993-05-03</t>
        </is>
      </c>
      <c r="X73" t="inlineStr">
        <is>
          <t>1993-05-03</t>
        </is>
      </c>
      <c r="Y73" t="n">
        <v>473</v>
      </c>
      <c r="Z73" t="n">
        <v>401</v>
      </c>
      <c r="AA73" t="n">
        <v>412</v>
      </c>
      <c r="AB73" t="n">
        <v>2</v>
      </c>
      <c r="AC73" t="n">
        <v>2</v>
      </c>
      <c r="AD73" t="n">
        <v>7</v>
      </c>
      <c r="AE73" t="n">
        <v>7</v>
      </c>
      <c r="AF73" t="n">
        <v>3</v>
      </c>
      <c r="AG73" t="n">
        <v>3</v>
      </c>
      <c r="AH73" t="n">
        <v>1</v>
      </c>
      <c r="AI73" t="n">
        <v>1</v>
      </c>
      <c r="AJ73" t="n">
        <v>2</v>
      </c>
      <c r="AK73" t="n">
        <v>2</v>
      </c>
      <c r="AL73" t="n">
        <v>1</v>
      </c>
      <c r="AM73" t="n">
        <v>1</v>
      </c>
      <c r="AN73" t="n">
        <v>0</v>
      </c>
      <c r="AO73" t="n">
        <v>0</v>
      </c>
      <c r="AP73" t="inlineStr">
        <is>
          <t>No</t>
        </is>
      </c>
      <c r="AQ73" t="inlineStr">
        <is>
          <t>Yes</t>
        </is>
      </c>
      <c r="AR73">
        <f>HYPERLINK("http://catalog.hathitrust.org/Record/000743235","HathiTrust Record")</f>
        <v/>
      </c>
      <c r="AS73">
        <f>HYPERLINK("https://creighton-primo.hosted.exlibrisgroup.com/primo-explore/search?tab=default_tab&amp;search_scope=EVERYTHING&amp;vid=01CRU&amp;lang=en_US&amp;offset=0&amp;query=any,contains,991004942629702656","Catalog Record")</f>
        <v/>
      </c>
      <c r="AT73">
        <f>HYPERLINK("http://www.worldcat.org/oclc/6195119","WorldCat Record")</f>
        <v/>
      </c>
      <c r="AU73" t="inlineStr">
        <is>
          <t>789431129:eng</t>
        </is>
      </c>
      <c r="AV73" t="inlineStr">
        <is>
          <t>6195119</t>
        </is>
      </c>
      <c r="AW73" t="inlineStr">
        <is>
          <t>991004942629702656</t>
        </is>
      </c>
      <c r="AX73" t="inlineStr">
        <is>
          <t>991004942629702656</t>
        </is>
      </c>
      <c r="AY73" t="inlineStr">
        <is>
          <t>2265747390002656</t>
        </is>
      </c>
      <c r="AZ73" t="inlineStr">
        <is>
          <t>BOOK</t>
        </is>
      </c>
      <c r="BB73" t="inlineStr">
        <is>
          <t>9780891330769</t>
        </is>
      </c>
      <c r="BC73" t="inlineStr">
        <is>
          <t>32285001632982</t>
        </is>
      </c>
      <c r="BD73" t="inlineStr">
        <is>
          <t>893446470</t>
        </is>
      </c>
    </row>
    <row r="74">
      <c r="A74" t="inlineStr">
        <is>
          <t>No</t>
        </is>
      </c>
      <c r="B74" t="inlineStr">
        <is>
          <t>NA2545.A3 D47 1985</t>
        </is>
      </c>
      <c r="C74" t="inlineStr">
        <is>
          <t>0                      NA 2545000A  3                  D  47          1985</t>
        </is>
      </c>
      <c r="D74" t="inlineStr">
        <is>
          <t>Design for aging : an architect's guide.</t>
        </is>
      </c>
      <c r="F74" t="inlineStr">
        <is>
          <t>No</t>
        </is>
      </c>
      <c r="G74" t="inlineStr">
        <is>
          <t>1</t>
        </is>
      </c>
      <c r="H74" t="inlineStr">
        <is>
          <t>No</t>
        </is>
      </c>
      <c r="I74" t="inlineStr">
        <is>
          <t>No</t>
        </is>
      </c>
      <c r="J74" t="inlineStr">
        <is>
          <t>0</t>
        </is>
      </c>
      <c r="L74" t="inlineStr">
        <is>
          <t>Washington, D.C. : American Institute of Architects, 1985.</t>
        </is>
      </c>
      <c r="M74" t="inlineStr">
        <is>
          <t>1985</t>
        </is>
      </c>
      <c r="O74" t="inlineStr">
        <is>
          <t>eng</t>
        </is>
      </c>
      <c r="P74" t="inlineStr">
        <is>
          <t>dcu</t>
        </is>
      </c>
      <c r="R74" t="inlineStr">
        <is>
          <t xml:space="preserve">NA </t>
        </is>
      </c>
      <c r="S74" t="n">
        <v>3</v>
      </c>
      <c r="T74" t="n">
        <v>3</v>
      </c>
      <c r="U74" t="inlineStr">
        <is>
          <t>2005-07-19</t>
        </is>
      </c>
      <c r="V74" t="inlineStr">
        <is>
          <t>2005-07-19</t>
        </is>
      </c>
      <c r="W74" t="inlineStr">
        <is>
          <t>1993-05-14</t>
        </is>
      </c>
      <c r="X74" t="inlineStr">
        <is>
          <t>1993-05-14</t>
        </is>
      </c>
      <c r="Y74" t="n">
        <v>209</v>
      </c>
      <c r="Z74" t="n">
        <v>182</v>
      </c>
      <c r="AA74" t="n">
        <v>215</v>
      </c>
      <c r="AB74" t="n">
        <v>2</v>
      </c>
      <c r="AC74" t="n">
        <v>2</v>
      </c>
      <c r="AD74" t="n">
        <v>5</v>
      </c>
      <c r="AE74" t="n">
        <v>5</v>
      </c>
      <c r="AF74" t="n">
        <v>2</v>
      </c>
      <c r="AG74" t="n">
        <v>2</v>
      </c>
      <c r="AH74" t="n">
        <v>1</v>
      </c>
      <c r="AI74" t="n">
        <v>1</v>
      </c>
      <c r="AJ74" t="n">
        <v>1</v>
      </c>
      <c r="AK74" t="n">
        <v>1</v>
      </c>
      <c r="AL74" t="n">
        <v>1</v>
      </c>
      <c r="AM74" t="n">
        <v>1</v>
      </c>
      <c r="AN74" t="n">
        <v>0</v>
      </c>
      <c r="AO74" t="n">
        <v>0</v>
      </c>
      <c r="AP74" t="inlineStr">
        <is>
          <t>No</t>
        </is>
      </c>
      <c r="AQ74" t="inlineStr">
        <is>
          <t>Yes</t>
        </is>
      </c>
      <c r="AR74">
        <f>HYPERLINK("http://catalog.hathitrust.org/Record/000583071","HathiTrust Record")</f>
        <v/>
      </c>
      <c r="AS74">
        <f>HYPERLINK("https://creighton-primo.hosted.exlibrisgroup.com/primo-explore/search?tab=default_tab&amp;search_scope=EVERYTHING&amp;vid=01CRU&amp;lang=en_US&amp;offset=0&amp;query=any,contains,991000847119702656","Catalog Record")</f>
        <v/>
      </c>
      <c r="AT74">
        <f>HYPERLINK("http://www.worldcat.org/oclc/13564704","WorldCat Record")</f>
        <v/>
      </c>
      <c r="AU74" t="inlineStr">
        <is>
          <t>54817146:eng</t>
        </is>
      </c>
      <c r="AV74" t="inlineStr">
        <is>
          <t>13564704</t>
        </is>
      </c>
      <c r="AW74" t="inlineStr">
        <is>
          <t>991000847119702656</t>
        </is>
      </c>
      <c r="AX74" t="inlineStr">
        <is>
          <t>991000847119702656</t>
        </is>
      </c>
      <c r="AY74" t="inlineStr">
        <is>
          <t>2256683250002656</t>
        </is>
      </c>
      <c r="AZ74" t="inlineStr">
        <is>
          <t>BOOK</t>
        </is>
      </c>
      <c r="BB74" t="inlineStr">
        <is>
          <t>9780913962770</t>
        </is>
      </c>
      <c r="BC74" t="inlineStr">
        <is>
          <t>32285001655033</t>
        </is>
      </c>
      <c r="BD74" t="inlineStr">
        <is>
          <t>893808844</t>
        </is>
      </c>
    </row>
    <row r="75">
      <c r="A75" t="inlineStr">
        <is>
          <t>No</t>
        </is>
      </c>
      <c r="B75" t="inlineStr">
        <is>
          <t>NA2560 .A2 1964</t>
        </is>
      </c>
      <c r="C75" t="inlineStr">
        <is>
          <t>0                      NA 2560000A  2           1964</t>
        </is>
      </c>
      <c r="D75" t="inlineStr">
        <is>
          <t>The history, theory, and criticism of architecture : papers / edited by Marcus Whiffen. With a foreword by Buford L. Pickens.</t>
        </is>
      </c>
      <c r="F75" t="inlineStr">
        <is>
          <t>No</t>
        </is>
      </c>
      <c r="G75" t="inlineStr">
        <is>
          <t>1</t>
        </is>
      </c>
      <c r="H75" t="inlineStr">
        <is>
          <t>No</t>
        </is>
      </c>
      <c r="I75" t="inlineStr">
        <is>
          <t>No</t>
        </is>
      </c>
      <c r="J75" t="inlineStr">
        <is>
          <t>0</t>
        </is>
      </c>
      <c r="K75" t="inlineStr">
        <is>
          <t>AIA-ACSA Teacher Seminar (1964 : Cranbrook Academy of Art)</t>
        </is>
      </c>
      <c r="L75" t="inlineStr">
        <is>
          <t>Cambridge, Mass., M.I.T. Press [c1965]</t>
        </is>
      </c>
      <c r="M75" t="inlineStr">
        <is>
          <t>1965</t>
        </is>
      </c>
      <c r="O75" t="inlineStr">
        <is>
          <t>eng</t>
        </is>
      </c>
      <c r="P75" t="inlineStr">
        <is>
          <t>mau</t>
        </is>
      </c>
      <c r="R75" t="inlineStr">
        <is>
          <t xml:space="preserve">NA </t>
        </is>
      </c>
      <c r="S75" t="n">
        <v>2</v>
      </c>
      <c r="T75" t="n">
        <v>2</v>
      </c>
      <c r="U75" t="inlineStr">
        <is>
          <t>1997-11-05</t>
        </is>
      </c>
      <c r="V75" t="inlineStr">
        <is>
          <t>1997-11-05</t>
        </is>
      </c>
      <c r="W75" t="inlineStr">
        <is>
          <t>1997-05-27</t>
        </is>
      </c>
      <c r="X75" t="inlineStr">
        <is>
          <t>1997-05-27</t>
        </is>
      </c>
      <c r="Y75" t="n">
        <v>475</v>
      </c>
      <c r="Z75" t="n">
        <v>412</v>
      </c>
      <c r="AA75" t="n">
        <v>417</v>
      </c>
      <c r="AB75" t="n">
        <v>4</v>
      </c>
      <c r="AC75" t="n">
        <v>4</v>
      </c>
      <c r="AD75" t="n">
        <v>13</v>
      </c>
      <c r="AE75" t="n">
        <v>13</v>
      </c>
      <c r="AF75" t="n">
        <v>4</v>
      </c>
      <c r="AG75" t="n">
        <v>4</v>
      </c>
      <c r="AH75" t="n">
        <v>4</v>
      </c>
      <c r="AI75" t="n">
        <v>4</v>
      </c>
      <c r="AJ75" t="n">
        <v>5</v>
      </c>
      <c r="AK75" t="n">
        <v>5</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HYPERLINK("https://creighton-primo.hosted.exlibrisgroup.com/primo-explore/search?tab=default_tab&amp;search_scope=EVERYTHING&amp;vid=01CRU&amp;lang=en_US&amp;offset=0&amp;query=any,contains,991002894229702656","Catalog Record")</f>
        <v/>
      </c>
      <c r="AT75">
        <f>HYPERLINK("http://www.worldcat.org/oclc/513174","WorldCat Record")</f>
        <v/>
      </c>
      <c r="AU75" t="inlineStr">
        <is>
          <t>3901650229:eng</t>
        </is>
      </c>
      <c r="AV75" t="inlineStr">
        <is>
          <t>513174</t>
        </is>
      </c>
      <c r="AW75" t="inlineStr">
        <is>
          <t>991002894229702656</t>
        </is>
      </c>
      <c r="AX75" t="inlineStr">
        <is>
          <t>991002894229702656</t>
        </is>
      </c>
      <c r="AY75" t="inlineStr">
        <is>
          <t>2260767600002656</t>
        </is>
      </c>
      <c r="AZ75" t="inlineStr">
        <is>
          <t>BOOK</t>
        </is>
      </c>
      <c r="BC75" t="inlineStr">
        <is>
          <t>32285002696804</t>
        </is>
      </c>
      <c r="BD75" t="inlineStr">
        <is>
          <t>893710813</t>
        </is>
      </c>
    </row>
    <row r="76">
      <c r="A76" t="inlineStr">
        <is>
          <t>No</t>
        </is>
      </c>
      <c r="B76" t="inlineStr">
        <is>
          <t>NA260 .D7 1966</t>
        </is>
      </c>
      <c r="C76" t="inlineStr">
        <is>
          <t>0                      NA 0260000D  7           1966</t>
        </is>
      </c>
      <c r="D76" t="inlineStr">
        <is>
          <t>Architectura numismatica : ancient architecture on Greek and Roman coins and medals.</t>
        </is>
      </c>
      <c r="F76" t="inlineStr">
        <is>
          <t>No</t>
        </is>
      </c>
      <c r="G76" t="inlineStr">
        <is>
          <t>1</t>
        </is>
      </c>
      <c r="H76" t="inlineStr">
        <is>
          <t>No</t>
        </is>
      </c>
      <c r="I76" t="inlineStr">
        <is>
          <t>No</t>
        </is>
      </c>
      <c r="J76" t="inlineStr">
        <is>
          <t>0</t>
        </is>
      </c>
      <c r="K76" t="inlineStr">
        <is>
          <t>Donaldson, Thomas Leverton, 1795-1885.</t>
        </is>
      </c>
      <c r="L76" t="inlineStr">
        <is>
          <t>Chicago : Argonaut Publishers, 1966.</t>
        </is>
      </c>
      <c r="M76" t="inlineStr">
        <is>
          <t>1966</t>
        </is>
      </c>
      <c r="O76" t="inlineStr">
        <is>
          <t>eng</t>
        </is>
      </c>
      <c r="P76" t="inlineStr">
        <is>
          <t>ilu</t>
        </is>
      </c>
      <c r="Q76" t="inlineStr">
        <is>
          <t>Argonaut library of antiquities</t>
        </is>
      </c>
      <c r="R76" t="inlineStr">
        <is>
          <t xml:space="preserve">NA </t>
        </is>
      </c>
      <c r="S76" t="n">
        <v>3</v>
      </c>
      <c r="T76" t="n">
        <v>3</v>
      </c>
      <c r="U76" t="inlineStr">
        <is>
          <t>2004-09-24</t>
        </is>
      </c>
      <c r="V76" t="inlineStr">
        <is>
          <t>2004-09-24</t>
        </is>
      </c>
      <c r="W76" t="inlineStr">
        <is>
          <t>1992-05-20</t>
        </is>
      </c>
      <c r="X76" t="inlineStr">
        <is>
          <t>1992-05-20</t>
        </is>
      </c>
      <c r="Y76" t="n">
        <v>419</v>
      </c>
      <c r="Z76" t="n">
        <v>340</v>
      </c>
      <c r="AA76" t="n">
        <v>368</v>
      </c>
      <c r="AB76" t="n">
        <v>1</v>
      </c>
      <c r="AC76" t="n">
        <v>2</v>
      </c>
      <c r="AD76" t="n">
        <v>12</v>
      </c>
      <c r="AE76" t="n">
        <v>13</v>
      </c>
      <c r="AF76" t="n">
        <v>2</v>
      </c>
      <c r="AG76" t="n">
        <v>2</v>
      </c>
      <c r="AH76" t="n">
        <v>4</v>
      </c>
      <c r="AI76" t="n">
        <v>4</v>
      </c>
      <c r="AJ76" t="n">
        <v>6</v>
      </c>
      <c r="AK76" t="n">
        <v>6</v>
      </c>
      <c r="AL76" t="n">
        <v>0</v>
      </c>
      <c r="AM76" t="n">
        <v>1</v>
      </c>
      <c r="AN76" t="n">
        <v>0</v>
      </c>
      <c r="AO76" t="n">
        <v>0</v>
      </c>
      <c r="AP76" t="inlineStr">
        <is>
          <t>No</t>
        </is>
      </c>
      <c r="AQ76" t="inlineStr">
        <is>
          <t>Yes</t>
        </is>
      </c>
      <c r="AR76">
        <f>HYPERLINK("http://catalog.hathitrust.org/Record/000409669","HathiTrust Record")</f>
        <v/>
      </c>
      <c r="AS76">
        <f>HYPERLINK("https://creighton-primo.hosted.exlibrisgroup.com/primo-explore/search?tab=default_tab&amp;search_scope=EVERYTHING&amp;vid=01CRU&amp;lang=en_US&amp;offset=0&amp;query=any,contains,991002096759702656","Catalog Record")</f>
        <v/>
      </c>
      <c r="AT76">
        <f>HYPERLINK("http://www.worldcat.org/oclc/265835","WorldCat Record")</f>
        <v/>
      </c>
      <c r="AU76" t="inlineStr">
        <is>
          <t>323008573:eng</t>
        </is>
      </c>
      <c r="AV76" t="inlineStr">
        <is>
          <t>265835</t>
        </is>
      </c>
      <c r="AW76" t="inlineStr">
        <is>
          <t>991002096759702656</t>
        </is>
      </c>
      <c r="AX76" t="inlineStr">
        <is>
          <t>991002096759702656</t>
        </is>
      </c>
      <c r="AY76" t="inlineStr">
        <is>
          <t>2267753320002656</t>
        </is>
      </c>
      <c r="AZ76" t="inlineStr">
        <is>
          <t>BOOK</t>
        </is>
      </c>
      <c r="BC76" t="inlineStr">
        <is>
          <t>32285001112100</t>
        </is>
      </c>
      <c r="BD76" t="inlineStr">
        <is>
          <t>893709862</t>
        </is>
      </c>
    </row>
    <row r="77">
      <c r="A77" t="inlineStr">
        <is>
          <t>No</t>
        </is>
      </c>
      <c r="B77" t="inlineStr">
        <is>
          <t>NA260 .L97 1974b</t>
        </is>
      </c>
      <c r="C77" t="inlineStr">
        <is>
          <t>0                      NA 0260000L  97          1974b</t>
        </is>
      </c>
      <c r="D77" t="inlineStr">
        <is>
          <t>Baroque architecture in classical antiquity / Margaret Lyttelton.</t>
        </is>
      </c>
      <c r="F77" t="inlineStr">
        <is>
          <t>No</t>
        </is>
      </c>
      <c r="G77" t="inlineStr">
        <is>
          <t>1</t>
        </is>
      </c>
      <c r="H77" t="inlineStr">
        <is>
          <t>No</t>
        </is>
      </c>
      <c r="I77" t="inlineStr">
        <is>
          <t>No</t>
        </is>
      </c>
      <c r="J77" t="inlineStr">
        <is>
          <t>0</t>
        </is>
      </c>
      <c r="K77" t="inlineStr">
        <is>
          <t>Lyttelton, Margaret.</t>
        </is>
      </c>
      <c r="L77" t="inlineStr">
        <is>
          <t>Ithaca, N.Y. : Cornell University Press, 1974.</t>
        </is>
      </c>
      <c r="M77" t="inlineStr">
        <is>
          <t>1974</t>
        </is>
      </c>
      <c r="O77" t="inlineStr">
        <is>
          <t>eng</t>
        </is>
      </c>
      <c r="P77" t="inlineStr">
        <is>
          <t>nyu</t>
        </is>
      </c>
      <c r="Q77" t="inlineStr">
        <is>
          <t>Studies in ancient art and archaeology</t>
        </is>
      </c>
      <c r="R77" t="inlineStr">
        <is>
          <t xml:space="preserve">NA </t>
        </is>
      </c>
      <c r="S77" t="n">
        <v>1</v>
      </c>
      <c r="T77" t="n">
        <v>1</v>
      </c>
      <c r="U77" t="inlineStr">
        <is>
          <t>2006-05-03</t>
        </is>
      </c>
      <c r="V77" t="inlineStr">
        <is>
          <t>2006-05-03</t>
        </is>
      </c>
      <c r="W77" t="inlineStr">
        <is>
          <t>1993-05-13</t>
        </is>
      </c>
      <c r="X77" t="inlineStr">
        <is>
          <t>1993-05-13</t>
        </is>
      </c>
      <c r="Y77" t="n">
        <v>271</v>
      </c>
      <c r="Z77" t="n">
        <v>248</v>
      </c>
      <c r="AA77" t="n">
        <v>308</v>
      </c>
      <c r="AB77" t="n">
        <v>2</v>
      </c>
      <c r="AC77" t="n">
        <v>2</v>
      </c>
      <c r="AD77" t="n">
        <v>13</v>
      </c>
      <c r="AE77" t="n">
        <v>15</v>
      </c>
      <c r="AF77" t="n">
        <v>4</v>
      </c>
      <c r="AG77" t="n">
        <v>5</v>
      </c>
      <c r="AH77" t="n">
        <v>4</v>
      </c>
      <c r="AI77" t="n">
        <v>4</v>
      </c>
      <c r="AJ77" t="n">
        <v>6</v>
      </c>
      <c r="AK77" t="n">
        <v>8</v>
      </c>
      <c r="AL77" t="n">
        <v>1</v>
      </c>
      <c r="AM77" t="n">
        <v>1</v>
      </c>
      <c r="AN77" t="n">
        <v>0</v>
      </c>
      <c r="AO77" t="n">
        <v>0</v>
      </c>
      <c r="AP77" t="inlineStr">
        <is>
          <t>Yes</t>
        </is>
      </c>
      <c r="AQ77" t="inlineStr">
        <is>
          <t>No</t>
        </is>
      </c>
      <c r="AR77">
        <f>HYPERLINK("http://catalog.hathitrust.org/Record/006219262","HathiTrust Record")</f>
        <v/>
      </c>
      <c r="AS77">
        <f>HYPERLINK("https://creighton-primo.hosted.exlibrisgroup.com/primo-explore/search?tab=default_tab&amp;search_scope=EVERYTHING&amp;vid=01CRU&amp;lang=en_US&amp;offset=0&amp;query=any,contains,991003569769702656","Catalog Record")</f>
        <v/>
      </c>
      <c r="AT77">
        <f>HYPERLINK("http://www.worldcat.org/oclc/1144621","WorldCat Record")</f>
        <v/>
      </c>
      <c r="AU77" t="inlineStr">
        <is>
          <t>2068132:eng</t>
        </is>
      </c>
      <c r="AV77" t="inlineStr">
        <is>
          <t>1144621</t>
        </is>
      </c>
      <c r="AW77" t="inlineStr">
        <is>
          <t>991003569769702656</t>
        </is>
      </c>
      <c r="AX77" t="inlineStr">
        <is>
          <t>991003569769702656</t>
        </is>
      </c>
      <c r="AY77" t="inlineStr">
        <is>
          <t>2263499960002656</t>
        </is>
      </c>
      <c r="AZ77" t="inlineStr">
        <is>
          <t>BOOK</t>
        </is>
      </c>
      <c r="BB77" t="inlineStr">
        <is>
          <t>9780801407840</t>
        </is>
      </c>
      <c r="BC77" t="inlineStr">
        <is>
          <t>32285001654135</t>
        </is>
      </c>
      <c r="BD77" t="inlineStr">
        <is>
          <t>893330451</t>
        </is>
      </c>
    </row>
    <row r="78">
      <c r="A78" t="inlineStr">
        <is>
          <t>No</t>
        </is>
      </c>
      <c r="B78" t="inlineStr">
        <is>
          <t>NA260 .R6</t>
        </is>
      </c>
      <c r="C78" t="inlineStr">
        <is>
          <t>0                      NA 0260000R  6</t>
        </is>
      </c>
      <c r="D78" t="inlineStr">
        <is>
          <t>A handbook of Greek &amp; Roman architecture / by D. S. Robertson.</t>
        </is>
      </c>
      <c r="F78" t="inlineStr">
        <is>
          <t>No</t>
        </is>
      </c>
      <c r="G78" t="inlineStr">
        <is>
          <t>1</t>
        </is>
      </c>
      <c r="H78" t="inlineStr">
        <is>
          <t>No</t>
        </is>
      </c>
      <c r="I78" t="inlineStr">
        <is>
          <t>No</t>
        </is>
      </c>
      <c r="J78" t="inlineStr">
        <is>
          <t>0</t>
        </is>
      </c>
      <c r="K78" t="inlineStr">
        <is>
          <t>Robertson, D. S. (Donald Struan), 1885-1961.</t>
        </is>
      </c>
      <c r="L78" t="inlineStr">
        <is>
          <t>Cambridge, [Eng.] : The University Press, 1929.</t>
        </is>
      </c>
      <c r="M78" t="inlineStr">
        <is>
          <t>1929</t>
        </is>
      </c>
      <c r="O78" t="inlineStr">
        <is>
          <t>eng</t>
        </is>
      </c>
      <c r="P78" t="inlineStr">
        <is>
          <t>enk</t>
        </is>
      </c>
      <c r="R78" t="inlineStr">
        <is>
          <t xml:space="preserve">NA </t>
        </is>
      </c>
      <c r="S78" t="n">
        <v>9</v>
      </c>
      <c r="T78" t="n">
        <v>9</v>
      </c>
      <c r="U78" t="inlineStr">
        <is>
          <t>2004-09-24</t>
        </is>
      </c>
      <c r="V78" t="inlineStr">
        <is>
          <t>2004-09-24</t>
        </is>
      </c>
      <c r="W78" t="inlineStr">
        <is>
          <t>1991-05-20</t>
        </is>
      </c>
      <c r="X78" t="inlineStr">
        <is>
          <t>1991-05-20</t>
        </is>
      </c>
      <c r="Y78" t="n">
        <v>239</v>
      </c>
      <c r="Z78" t="n">
        <v>170</v>
      </c>
      <c r="AA78" t="n">
        <v>543</v>
      </c>
      <c r="AB78" t="n">
        <v>3</v>
      </c>
      <c r="AC78" t="n">
        <v>5</v>
      </c>
      <c r="AD78" t="n">
        <v>7</v>
      </c>
      <c r="AE78" t="n">
        <v>22</v>
      </c>
      <c r="AF78" t="n">
        <v>2</v>
      </c>
      <c r="AG78" t="n">
        <v>8</v>
      </c>
      <c r="AH78" t="n">
        <v>2</v>
      </c>
      <c r="AI78" t="n">
        <v>6</v>
      </c>
      <c r="AJ78" t="n">
        <v>3</v>
      </c>
      <c r="AK78" t="n">
        <v>12</v>
      </c>
      <c r="AL78" t="n">
        <v>2</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HYPERLINK("https://creighton-primo.hosted.exlibrisgroup.com/primo-explore/search?tab=default_tab&amp;search_scope=EVERYTHING&amp;vid=01CRU&amp;lang=en_US&amp;offset=0&amp;query=any,contains,991003517829702656","Catalog Record")</f>
        <v/>
      </c>
      <c r="AT78">
        <f>HYPERLINK("http://www.worldcat.org/oclc/1076246","WorldCat Record")</f>
        <v/>
      </c>
      <c r="AU78" t="inlineStr">
        <is>
          <t>1479187:eng</t>
        </is>
      </c>
      <c r="AV78" t="inlineStr">
        <is>
          <t>1076246</t>
        </is>
      </c>
      <c r="AW78" t="inlineStr">
        <is>
          <t>991003517829702656</t>
        </is>
      </c>
      <c r="AX78" t="inlineStr">
        <is>
          <t>991003517829702656</t>
        </is>
      </c>
      <c r="AY78" t="inlineStr">
        <is>
          <t>2257581970002656</t>
        </is>
      </c>
      <c r="AZ78" t="inlineStr">
        <is>
          <t>BOOK</t>
        </is>
      </c>
      <c r="BC78" t="inlineStr">
        <is>
          <t>32285000597400</t>
        </is>
      </c>
      <c r="BD78" t="inlineStr">
        <is>
          <t>893805858</t>
        </is>
      </c>
    </row>
    <row r="79">
      <c r="A79" t="inlineStr">
        <is>
          <t>No</t>
        </is>
      </c>
      <c r="B79" t="inlineStr">
        <is>
          <t>NA260 .T96 1986</t>
        </is>
      </c>
      <c r="C79" t="inlineStr">
        <is>
          <t>0                      NA 0260000T  96          1986</t>
        </is>
      </c>
      <c r="D79" t="inlineStr">
        <is>
          <t>Classical architecture : the poetics of order / Alexander Tzonis and Liane Lefaivre.</t>
        </is>
      </c>
      <c r="F79" t="inlineStr">
        <is>
          <t>No</t>
        </is>
      </c>
      <c r="G79" t="inlineStr">
        <is>
          <t>1</t>
        </is>
      </c>
      <c r="H79" t="inlineStr">
        <is>
          <t>No</t>
        </is>
      </c>
      <c r="I79" t="inlineStr">
        <is>
          <t>No</t>
        </is>
      </c>
      <c r="J79" t="inlineStr">
        <is>
          <t>0</t>
        </is>
      </c>
      <c r="K79" t="inlineStr">
        <is>
          <t>Tzonis, Alexander.</t>
        </is>
      </c>
      <c r="L79" t="inlineStr">
        <is>
          <t>Cambridge, Mass. : MIT Press, c1986.</t>
        </is>
      </c>
      <c r="M79" t="inlineStr">
        <is>
          <t>1986</t>
        </is>
      </c>
      <c r="O79" t="inlineStr">
        <is>
          <t>eng</t>
        </is>
      </c>
      <c r="P79" t="inlineStr">
        <is>
          <t>mau</t>
        </is>
      </c>
      <c r="R79" t="inlineStr">
        <is>
          <t xml:space="preserve">NA </t>
        </is>
      </c>
      <c r="S79" t="n">
        <v>1</v>
      </c>
      <c r="T79" t="n">
        <v>1</v>
      </c>
      <c r="U79" t="inlineStr">
        <is>
          <t>2010-09-27</t>
        </is>
      </c>
      <c r="V79" t="inlineStr">
        <is>
          <t>2010-09-27</t>
        </is>
      </c>
      <c r="W79" t="inlineStr">
        <is>
          <t>2010-09-27</t>
        </is>
      </c>
      <c r="X79" t="inlineStr">
        <is>
          <t>2010-09-27</t>
        </is>
      </c>
      <c r="Y79" t="n">
        <v>617</v>
      </c>
      <c r="Z79" t="n">
        <v>431</v>
      </c>
      <c r="AA79" t="n">
        <v>437</v>
      </c>
      <c r="AB79" t="n">
        <v>2</v>
      </c>
      <c r="AC79" t="n">
        <v>2</v>
      </c>
      <c r="AD79" t="n">
        <v>16</v>
      </c>
      <c r="AE79" t="n">
        <v>16</v>
      </c>
      <c r="AF79" t="n">
        <v>4</v>
      </c>
      <c r="AG79" t="n">
        <v>4</v>
      </c>
      <c r="AH79" t="n">
        <v>4</v>
      </c>
      <c r="AI79" t="n">
        <v>4</v>
      </c>
      <c r="AJ79" t="n">
        <v>10</v>
      </c>
      <c r="AK79" t="n">
        <v>10</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HYPERLINK("https://creighton-primo.hosted.exlibrisgroup.com/primo-explore/search?tab=default_tab&amp;search_scope=EVERYTHING&amp;vid=01CRU&amp;lang=en_US&amp;offset=0&amp;query=any,contains,991000109079702656","Catalog Record")</f>
        <v/>
      </c>
      <c r="AT79">
        <f>HYPERLINK("http://www.worldcat.org/oclc/13330006","WorldCat Record")</f>
        <v/>
      </c>
      <c r="AU79" t="inlineStr">
        <is>
          <t>7436850:eng</t>
        </is>
      </c>
      <c r="AV79" t="inlineStr">
        <is>
          <t>13330006</t>
        </is>
      </c>
      <c r="AW79" t="inlineStr">
        <is>
          <t>991000109079702656</t>
        </is>
      </c>
      <c r="AX79" t="inlineStr">
        <is>
          <t>991000109079702656</t>
        </is>
      </c>
      <c r="AY79" t="inlineStr">
        <is>
          <t>2266149030002656</t>
        </is>
      </c>
      <c r="AZ79" t="inlineStr">
        <is>
          <t>BOOK</t>
        </is>
      </c>
      <c r="BB79" t="inlineStr">
        <is>
          <t>9780262200592</t>
        </is>
      </c>
      <c r="BC79" t="inlineStr">
        <is>
          <t>32285005596720</t>
        </is>
      </c>
      <c r="BD79" t="inlineStr">
        <is>
          <t>893595278</t>
        </is>
      </c>
    </row>
    <row r="80">
      <c r="A80" t="inlineStr">
        <is>
          <t>No</t>
        </is>
      </c>
      <c r="B80" t="inlineStr">
        <is>
          <t>NA267 .H58 2000</t>
        </is>
      </c>
      <c r="C80" t="inlineStr">
        <is>
          <t>0                      NA 0267000H  58          2000</t>
        </is>
      </c>
      <c r="D80" t="inlineStr">
        <is>
          <t>Minoan architecture : a contextual analysis / Louise A. Hitchcock.</t>
        </is>
      </c>
      <c r="F80" t="inlineStr">
        <is>
          <t>No</t>
        </is>
      </c>
      <c r="G80" t="inlineStr">
        <is>
          <t>1</t>
        </is>
      </c>
      <c r="H80" t="inlineStr">
        <is>
          <t>No</t>
        </is>
      </c>
      <c r="I80" t="inlineStr">
        <is>
          <t>No</t>
        </is>
      </c>
      <c r="J80" t="inlineStr">
        <is>
          <t>0</t>
        </is>
      </c>
      <c r="K80" t="inlineStr">
        <is>
          <t>Hitchcock, Louise.</t>
        </is>
      </c>
      <c r="L80" t="inlineStr">
        <is>
          <t>Jonsered : P. Åströms förlag, c2000.</t>
        </is>
      </c>
      <c r="M80" t="inlineStr">
        <is>
          <t>2000</t>
        </is>
      </c>
      <c r="O80" t="inlineStr">
        <is>
          <t>eng</t>
        </is>
      </c>
      <c r="P80" t="inlineStr">
        <is>
          <t xml:space="preserve">sw </t>
        </is>
      </c>
      <c r="Q80" t="inlineStr">
        <is>
          <t>Studies in Mediterranean archaeology and literature. Pocket-book ; 155</t>
        </is>
      </c>
      <c r="R80" t="inlineStr">
        <is>
          <t xml:space="preserve">NA </t>
        </is>
      </c>
      <c r="S80" t="n">
        <v>3</v>
      </c>
      <c r="T80" t="n">
        <v>3</v>
      </c>
      <c r="U80" t="inlineStr">
        <is>
          <t>2005-08-12</t>
        </is>
      </c>
      <c r="V80" t="inlineStr">
        <is>
          <t>2005-08-12</t>
        </is>
      </c>
      <c r="W80" t="inlineStr">
        <is>
          <t>2002-01-10</t>
        </is>
      </c>
      <c r="X80" t="inlineStr">
        <is>
          <t>2002-01-10</t>
        </is>
      </c>
      <c r="Y80" t="n">
        <v>140</v>
      </c>
      <c r="Z80" t="n">
        <v>94</v>
      </c>
      <c r="AA80" t="n">
        <v>97</v>
      </c>
      <c r="AB80" t="n">
        <v>2</v>
      </c>
      <c r="AC80" t="n">
        <v>2</v>
      </c>
      <c r="AD80" t="n">
        <v>5</v>
      </c>
      <c r="AE80" t="n">
        <v>5</v>
      </c>
      <c r="AF80" t="n">
        <v>2</v>
      </c>
      <c r="AG80" t="n">
        <v>2</v>
      </c>
      <c r="AH80" t="n">
        <v>1</v>
      </c>
      <c r="AI80" t="n">
        <v>1</v>
      </c>
      <c r="AJ80" t="n">
        <v>3</v>
      </c>
      <c r="AK80" t="n">
        <v>3</v>
      </c>
      <c r="AL80" t="n">
        <v>1</v>
      </c>
      <c r="AM80" t="n">
        <v>1</v>
      </c>
      <c r="AN80" t="n">
        <v>0</v>
      </c>
      <c r="AO80" t="n">
        <v>0</v>
      </c>
      <c r="AP80" t="inlineStr">
        <is>
          <t>No</t>
        </is>
      </c>
      <c r="AQ80" t="inlineStr">
        <is>
          <t>Yes</t>
        </is>
      </c>
      <c r="AR80">
        <f>HYPERLINK("http://catalog.hathitrust.org/Record/003452495","HathiTrust Record")</f>
        <v/>
      </c>
      <c r="AS80">
        <f>HYPERLINK("https://creighton-primo.hosted.exlibrisgroup.com/primo-explore/search?tab=default_tab&amp;search_scope=EVERYTHING&amp;vid=01CRU&amp;lang=en_US&amp;offset=0&amp;query=any,contains,991003606169702656","Catalog Record")</f>
        <v/>
      </c>
      <c r="AT80">
        <f>HYPERLINK("http://www.worldcat.org/oclc/43731848","WorldCat Record")</f>
        <v/>
      </c>
      <c r="AU80" t="inlineStr">
        <is>
          <t>197532176:eng</t>
        </is>
      </c>
      <c r="AV80" t="inlineStr">
        <is>
          <t>43731848</t>
        </is>
      </c>
      <c r="AW80" t="inlineStr">
        <is>
          <t>991003606169702656</t>
        </is>
      </c>
      <c r="AX80" t="inlineStr">
        <is>
          <t>991003606169702656</t>
        </is>
      </c>
      <c r="AY80" t="inlineStr">
        <is>
          <t>2271411550002656</t>
        </is>
      </c>
      <c r="AZ80" t="inlineStr">
        <is>
          <t>BOOK</t>
        </is>
      </c>
      <c r="BB80" t="inlineStr">
        <is>
          <t>9789170811920</t>
        </is>
      </c>
      <c r="BC80" t="inlineStr">
        <is>
          <t>32285004447529</t>
        </is>
      </c>
      <c r="BD80" t="inlineStr">
        <is>
          <t>893705416</t>
        </is>
      </c>
    </row>
    <row r="81">
      <c r="A81" t="inlineStr">
        <is>
          <t>No</t>
        </is>
      </c>
      <c r="B81" t="inlineStr">
        <is>
          <t>NA270 .C65 1977b</t>
        </is>
      </c>
      <c r="C81" t="inlineStr">
        <is>
          <t>0                      NA 0270000C  65          1977b</t>
        </is>
      </c>
      <c r="D81" t="inlineStr">
        <is>
          <t>Greek architects at work : problems of structure and design / J. J. Coulton.</t>
        </is>
      </c>
      <c r="F81" t="inlineStr">
        <is>
          <t>No</t>
        </is>
      </c>
      <c r="G81" t="inlineStr">
        <is>
          <t>1</t>
        </is>
      </c>
      <c r="H81" t="inlineStr">
        <is>
          <t>No</t>
        </is>
      </c>
      <c r="I81" t="inlineStr">
        <is>
          <t>No</t>
        </is>
      </c>
      <c r="J81" t="inlineStr">
        <is>
          <t>0</t>
        </is>
      </c>
      <c r="K81" t="inlineStr">
        <is>
          <t>Coulton, J. J.</t>
        </is>
      </c>
      <c r="L81" t="inlineStr">
        <is>
          <t>London : Elek, 1977.</t>
        </is>
      </c>
      <c r="M81" t="inlineStr">
        <is>
          <t>1977</t>
        </is>
      </c>
      <c r="O81" t="inlineStr">
        <is>
          <t>eng</t>
        </is>
      </c>
      <c r="P81" t="inlineStr">
        <is>
          <t>enk</t>
        </is>
      </c>
      <c r="Q81" t="inlineStr">
        <is>
          <t>Elek archaeology and anthropology</t>
        </is>
      </c>
      <c r="R81" t="inlineStr">
        <is>
          <t xml:space="preserve">NA </t>
        </is>
      </c>
      <c r="S81" t="n">
        <v>4</v>
      </c>
      <c r="T81" t="n">
        <v>4</v>
      </c>
      <c r="U81" t="inlineStr">
        <is>
          <t>2005-11-27</t>
        </is>
      </c>
      <c r="V81" t="inlineStr">
        <is>
          <t>2005-11-27</t>
        </is>
      </c>
      <c r="W81" t="inlineStr">
        <is>
          <t>1993-02-08</t>
        </is>
      </c>
      <c r="X81" t="inlineStr">
        <is>
          <t>1993-02-08</t>
        </is>
      </c>
      <c r="Y81" t="n">
        <v>232</v>
      </c>
      <c r="Z81" t="n">
        <v>75</v>
      </c>
      <c r="AA81" t="n">
        <v>77</v>
      </c>
      <c r="AB81" t="n">
        <v>2</v>
      </c>
      <c r="AC81" t="n">
        <v>2</v>
      </c>
      <c r="AD81" t="n">
        <v>4</v>
      </c>
      <c r="AE81" t="n">
        <v>4</v>
      </c>
      <c r="AF81" t="n">
        <v>1</v>
      </c>
      <c r="AG81" t="n">
        <v>1</v>
      </c>
      <c r="AH81" t="n">
        <v>0</v>
      </c>
      <c r="AI81" t="n">
        <v>0</v>
      </c>
      <c r="AJ81" t="n">
        <v>2</v>
      </c>
      <c r="AK81" t="n">
        <v>2</v>
      </c>
      <c r="AL81" t="n">
        <v>1</v>
      </c>
      <c r="AM81" t="n">
        <v>1</v>
      </c>
      <c r="AN81" t="n">
        <v>0</v>
      </c>
      <c r="AO81" t="n">
        <v>0</v>
      </c>
      <c r="AP81" t="inlineStr">
        <is>
          <t>No</t>
        </is>
      </c>
      <c r="AQ81" t="inlineStr">
        <is>
          <t>Yes</t>
        </is>
      </c>
      <c r="AR81">
        <f>HYPERLINK("http://catalog.hathitrust.org/Record/007476899","HathiTrust Record")</f>
        <v/>
      </c>
      <c r="AS81">
        <f>HYPERLINK("https://creighton-primo.hosted.exlibrisgroup.com/primo-explore/search?tab=default_tab&amp;search_scope=EVERYTHING&amp;vid=01CRU&amp;lang=en_US&amp;offset=0&amp;query=any,contains,991004375099702656","Catalog Record")</f>
        <v/>
      </c>
      <c r="AT81">
        <f>HYPERLINK("http://www.worldcat.org/oclc/3204413","WorldCat Record")</f>
        <v/>
      </c>
      <c r="AU81" t="inlineStr">
        <is>
          <t>3943320044:eng</t>
        </is>
      </c>
      <c r="AV81" t="inlineStr">
        <is>
          <t>3204413</t>
        </is>
      </c>
      <c r="AW81" t="inlineStr">
        <is>
          <t>991004375099702656</t>
        </is>
      </c>
      <c r="AX81" t="inlineStr">
        <is>
          <t>991004375099702656</t>
        </is>
      </c>
      <c r="AY81" t="inlineStr">
        <is>
          <t>2270723090002656</t>
        </is>
      </c>
      <c r="AZ81" t="inlineStr">
        <is>
          <t>BOOK</t>
        </is>
      </c>
      <c r="BB81" t="inlineStr">
        <is>
          <t>9780236400676</t>
        </is>
      </c>
      <c r="BC81" t="inlineStr">
        <is>
          <t>32285001524809</t>
        </is>
      </c>
      <c r="BD81" t="inlineStr">
        <is>
          <t>893882401</t>
        </is>
      </c>
    </row>
    <row r="82">
      <c r="A82" t="inlineStr">
        <is>
          <t>No</t>
        </is>
      </c>
      <c r="B82" t="inlineStr">
        <is>
          <t>NA270 .D5 1950</t>
        </is>
      </c>
      <c r="C82" t="inlineStr">
        <is>
          <t>0                      NA 0270000D  5           1950</t>
        </is>
      </c>
      <c r="D82" t="inlineStr">
        <is>
          <t>The architecture of ancient Greece : an account of its historic development / rev. and enl. ed. based on the first part of The Architecture of Greece and Rome, by William J. Anderson and R. Phené Spiers.</t>
        </is>
      </c>
      <c r="F82" t="inlineStr">
        <is>
          <t>No</t>
        </is>
      </c>
      <c r="G82" t="inlineStr">
        <is>
          <t>1</t>
        </is>
      </c>
      <c r="H82" t="inlineStr">
        <is>
          <t>No</t>
        </is>
      </c>
      <c r="I82" t="inlineStr">
        <is>
          <t>No</t>
        </is>
      </c>
      <c r="J82" t="inlineStr">
        <is>
          <t>0</t>
        </is>
      </c>
      <c r="K82" t="inlineStr">
        <is>
          <t>Dinsmoor, William Bell, 1886-1973.</t>
        </is>
      </c>
      <c r="L82" t="inlineStr">
        <is>
          <t>London ; New York : Batsford, [1950]</t>
        </is>
      </c>
      <c r="M82" t="inlineStr">
        <is>
          <t>1950</t>
        </is>
      </c>
      <c r="N82" t="inlineStr">
        <is>
          <t>[3d ed.]</t>
        </is>
      </c>
      <c r="O82" t="inlineStr">
        <is>
          <t>eng</t>
        </is>
      </c>
      <c r="P82" t="inlineStr">
        <is>
          <t>enk</t>
        </is>
      </c>
      <c r="R82" t="inlineStr">
        <is>
          <t xml:space="preserve">NA </t>
        </is>
      </c>
      <c r="S82" t="n">
        <v>11</v>
      </c>
      <c r="T82" t="n">
        <v>11</v>
      </c>
      <c r="U82" t="inlineStr">
        <is>
          <t>2005-11-27</t>
        </is>
      </c>
      <c r="V82" t="inlineStr">
        <is>
          <t>2005-11-27</t>
        </is>
      </c>
      <c r="W82" t="inlineStr">
        <is>
          <t>1990-02-24</t>
        </is>
      </c>
      <c r="X82" t="inlineStr">
        <is>
          <t>1990-02-24</t>
        </is>
      </c>
      <c r="Y82" t="n">
        <v>417</v>
      </c>
      <c r="Z82" t="n">
        <v>361</v>
      </c>
      <c r="AA82" t="n">
        <v>611</v>
      </c>
      <c r="AB82" t="n">
        <v>3</v>
      </c>
      <c r="AC82" t="n">
        <v>4</v>
      </c>
      <c r="AD82" t="n">
        <v>20</v>
      </c>
      <c r="AE82" t="n">
        <v>34</v>
      </c>
      <c r="AF82" t="n">
        <v>6</v>
      </c>
      <c r="AG82" t="n">
        <v>14</v>
      </c>
      <c r="AH82" t="n">
        <v>6</v>
      </c>
      <c r="AI82" t="n">
        <v>9</v>
      </c>
      <c r="AJ82" t="n">
        <v>11</v>
      </c>
      <c r="AK82" t="n">
        <v>18</v>
      </c>
      <c r="AL82" t="n">
        <v>2</v>
      </c>
      <c r="AM82" t="n">
        <v>2</v>
      </c>
      <c r="AN82" t="n">
        <v>0</v>
      </c>
      <c r="AO82" t="n">
        <v>0</v>
      </c>
      <c r="AP82" t="inlineStr">
        <is>
          <t>No</t>
        </is>
      </c>
      <c r="AQ82" t="inlineStr">
        <is>
          <t>Yes</t>
        </is>
      </c>
      <c r="AR82">
        <f>HYPERLINK("http://catalog.hathitrust.org/Record/000409145","HathiTrust Record")</f>
        <v/>
      </c>
      <c r="AS82">
        <f>HYPERLINK("https://creighton-primo.hosted.exlibrisgroup.com/primo-explore/search?tab=default_tab&amp;search_scope=EVERYTHING&amp;vid=01CRU&amp;lang=en_US&amp;offset=0&amp;query=any,contains,991003507049702656","Catalog Record")</f>
        <v/>
      </c>
      <c r="AT82">
        <f>HYPERLINK("http://www.worldcat.org/oclc/1059513","WorldCat Record")</f>
        <v/>
      </c>
      <c r="AU82" t="inlineStr">
        <is>
          <t>4915109232:eng</t>
        </is>
      </c>
      <c r="AV82" t="inlineStr">
        <is>
          <t>1059513</t>
        </is>
      </c>
      <c r="AW82" t="inlineStr">
        <is>
          <t>991003507049702656</t>
        </is>
      </c>
      <c r="AX82" t="inlineStr">
        <is>
          <t>991003507049702656</t>
        </is>
      </c>
      <c r="AY82" t="inlineStr">
        <is>
          <t>2262717100002656</t>
        </is>
      </c>
      <c r="AZ82" t="inlineStr">
        <is>
          <t>BOOK</t>
        </is>
      </c>
      <c r="BC82" t="inlineStr">
        <is>
          <t>32285000061621</t>
        </is>
      </c>
      <c r="BD82" t="inlineStr">
        <is>
          <t>893518544</t>
        </is>
      </c>
    </row>
    <row r="83">
      <c r="A83" t="inlineStr">
        <is>
          <t>No</t>
        </is>
      </c>
      <c r="B83" t="inlineStr">
        <is>
          <t>NA270 .L36 1983</t>
        </is>
      </c>
      <c r="C83" t="inlineStr">
        <is>
          <t>0                      NA 0270000L  36          1983</t>
        </is>
      </c>
      <c r="D83" t="inlineStr">
        <is>
          <t>Greek architecture / A.W. Lawrence ; revised with additions by R.A. Tomlinson.</t>
        </is>
      </c>
      <c r="F83" t="inlineStr">
        <is>
          <t>No</t>
        </is>
      </c>
      <c r="G83" t="inlineStr">
        <is>
          <t>1</t>
        </is>
      </c>
      <c r="H83" t="inlineStr">
        <is>
          <t>No</t>
        </is>
      </c>
      <c r="I83" t="inlineStr">
        <is>
          <t>No</t>
        </is>
      </c>
      <c r="J83" t="inlineStr">
        <is>
          <t>0</t>
        </is>
      </c>
      <c r="K83" t="inlineStr">
        <is>
          <t>Lawrence, A. W. (Arnold Walter), 1900-1991.</t>
        </is>
      </c>
      <c r="L83" t="inlineStr">
        <is>
          <t>Harmondsworth, Middlesex, England ; New York, N.Y., U.S.A. : Penguin Books, c1983.</t>
        </is>
      </c>
      <c r="M83" t="inlineStr">
        <is>
          <t>1983</t>
        </is>
      </c>
      <c r="N83" t="inlineStr">
        <is>
          <t>4th (integrated) ed., rev.</t>
        </is>
      </c>
      <c r="O83" t="inlineStr">
        <is>
          <t>eng</t>
        </is>
      </c>
      <c r="P83" t="inlineStr">
        <is>
          <t>enk</t>
        </is>
      </c>
      <c r="Q83" t="inlineStr">
        <is>
          <t>The Pelican history of art</t>
        </is>
      </c>
      <c r="R83" t="inlineStr">
        <is>
          <t xml:space="preserve">NA </t>
        </is>
      </c>
      <c r="S83" t="n">
        <v>17</v>
      </c>
      <c r="T83" t="n">
        <v>17</v>
      </c>
      <c r="U83" t="inlineStr">
        <is>
          <t>2005-11-27</t>
        </is>
      </c>
      <c r="V83" t="inlineStr">
        <is>
          <t>2005-11-27</t>
        </is>
      </c>
      <c r="W83" t="inlineStr">
        <is>
          <t>1990-02-22</t>
        </is>
      </c>
      <c r="X83" t="inlineStr">
        <is>
          <t>1990-02-22</t>
        </is>
      </c>
      <c r="Y83" t="n">
        <v>493</v>
      </c>
      <c r="Z83" t="n">
        <v>367</v>
      </c>
      <c r="AA83" t="n">
        <v>368</v>
      </c>
      <c r="AB83" t="n">
        <v>5</v>
      </c>
      <c r="AC83" t="n">
        <v>5</v>
      </c>
      <c r="AD83" t="n">
        <v>20</v>
      </c>
      <c r="AE83" t="n">
        <v>20</v>
      </c>
      <c r="AF83" t="n">
        <v>7</v>
      </c>
      <c r="AG83" t="n">
        <v>7</v>
      </c>
      <c r="AH83" t="n">
        <v>5</v>
      </c>
      <c r="AI83" t="n">
        <v>5</v>
      </c>
      <c r="AJ83" t="n">
        <v>9</v>
      </c>
      <c r="AK83" t="n">
        <v>9</v>
      </c>
      <c r="AL83" t="n">
        <v>3</v>
      </c>
      <c r="AM83" t="n">
        <v>3</v>
      </c>
      <c r="AN83" t="n">
        <v>0</v>
      </c>
      <c r="AO83" t="n">
        <v>0</v>
      </c>
      <c r="AP83" t="inlineStr">
        <is>
          <t>No</t>
        </is>
      </c>
      <c r="AQ83" t="inlineStr">
        <is>
          <t>Yes</t>
        </is>
      </c>
      <c r="AR83">
        <f>HYPERLINK("http://catalog.hathitrust.org/Record/000339709","HathiTrust Record")</f>
        <v/>
      </c>
      <c r="AS83">
        <f>HYPERLINK("https://creighton-primo.hosted.exlibrisgroup.com/primo-explore/search?tab=default_tab&amp;search_scope=EVERYTHING&amp;vid=01CRU&amp;lang=en_US&amp;offset=0&amp;query=any,contains,991000096209702656","Catalog Record")</f>
        <v/>
      </c>
      <c r="AT83">
        <f>HYPERLINK("http://www.worldcat.org/oclc/8929121","WorldCat Record")</f>
        <v/>
      </c>
      <c r="AU83" t="inlineStr">
        <is>
          <t>5622646807:eng</t>
        </is>
      </c>
      <c r="AV83" t="inlineStr">
        <is>
          <t>8929121</t>
        </is>
      </c>
      <c r="AW83" t="inlineStr">
        <is>
          <t>991000096209702656</t>
        </is>
      </c>
      <c r="AX83" t="inlineStr">
        <is>
          <t>991000096209702656</t>
        </is>
      </c>
      <c r="AY83" t="inlineStr">
        <is>
          <t>2266410690002656</t>
        </is>
      </c>
      <c r="AZ83" t="inlineStr">
        <is>
          <t>BOOK</t>
        </is>
      </c>
      <c r="BB83" t="inlineStr">
        <is>
          <t>9780140560114</t>
        </is>
      </c>
      <c r="BC83" t="inlineStr">
        <is>
          <t>32285000049279</t>
        </is>
      </c>
      <c r="BD83" t="inlineStr">
        <is>
          <t>893339270</t>
        </is>
      </c>
    </row>
    <row r="84">
      <c r="A84" t="inlineStr">
        <is>
          <t>No</t>
        </is>
      </c>
      <c r="B84" t="inlineStr">
        <is>
          <t>NA270 .L36 1996</t>
        </is>
      </c>
      <c r="C84" t="inlineStr">
        <is>
          <t>0                      NA 0270000L  36          1996</t>
        </is>
      </c>
      <c r="D84" t="inlineStr">
        <is>
          <t>Greek architecture / A.W. Lawrence.</t>
        </is>
      </c>
      <c r="F84" t="inlineStr">
        <is>
          <t>No</t>
        </is>
      </c>
      <c r="G84" t="inlineStr">
        <is>
          <t>1</t>
        </is>
      </c>
      <c r="H84" t="inlineStr">
        <is>
          <t>No</t>
        </is>
      </c>
      <c r="I84" t="inlineStr">
        <is>
          <t>No</t>
        </is>
      </c>
      <c r="J84" t="inlineStr">
        <is>
          <t>0</t>
        </is>
      </c>
      <c r="K84" t="inlineStr">
        <is>
          <t>Lawrence, A. W. (Arnold Walter), 1900-1991.</t>
        </is>
      </c>
      <c r="L84" t="inlineStr">
        <is>
          <t>New Haven : Yale University Press, c1996.</t>
        </is>
      </c>
      <c r="M84" t="inlineStr">
        <is>
          <t>1996</t>
        </is>
      </c>
      <c r="N84" t="inlineStr">
        <is>
          <t>5th ed. / revised by R.A. Tomlinson.</t>
        </is>
      </c>
      <c r="O84" t="inlineStr">
        <is>
          <t>eng</t>
        </is>
      </c>
      <c r="P84" t="inlineStr">
        <is>
          <t>ctu</t>
        </is>
      </c>
      <c r="Q84" t="inlineStr">
        <is>
          <t>Yale University Press Pelican history of art</t>
        </is>
      </c>
      <c r="R84" t="inlineStr">
        <is>
          <t xml:space="preserve">NA </t>
        </is>
      </c>
      <c r="S84" t="n">
        <v>11</v>
      </c>
      <c r="T84" t="n">
        <v>11</v>
      </c>
      <c r="U84" t="inlineStr">
        <is>
          <t>2009-04-06</t>
        </is>
      </c>
      <c r="V84" t="inlineStr">
        <is>
          <t>2009-04-06</t>
        </is>
      </c>
      <c r="W84" t="inlineStr">
        <is>
          <t>2002-03-27</t>
        </is>
      </c>
      <c r="X84" t="inlineStr">
        <is>
          <t>2002-03-27</t>
        </is>
      </c>
      <c r="Y84" t="n">
        <v>780</v>
      </c>
      <c r="Z84" t="n">
        <v>599</v>
      </c>
      <c r="AA84" t="n">
        <v>1328</v>
      </c>
      <c r="AB84" t="n">
        <v>3</v>
      </c>
      <c r="AC84" t="n">
        <v>7</v>
      </c>
      <c r="AD84" t="n">
        <v>28</v>
      </c>
      <c r="AE84" t="n">
        <v>49</v>
      </c>
      <c r="AF84" t="n">
        <v>13</v>
      </c>
      <c r="AG84" t="n">
        <v>23</v>
      </c>
      <c r="AH84" t="n">
        <v>5</v>
      </c>
      <c r="AI84" t="n">
        <v>9</v>
      </c>
      <c r="AJ84" t="n">
        <v>18</v>
      </c>
      <c r="AK84" t="n">
        <v>24</v>
      </c>
      <c r="AL84" t="n">
        <v>2</v>
      </c>
      <c r="AM84" t="n">
        <v>6</v>
      </c>
      <c r="AN84" t="n">
        <v>0</v>
      </c>
      <c r="AO84" t="n">
        <v>0</v>
      </c>
      <c r="AP84" t="inlineStr">
        <is>
          <t>No</t>
        </is>
      </c>
      <c r="AQ84" t="inlineStr">
        <is>
          <t>No</t>
        </is>
      </c>
      <c r="AS84">
        <f>HYPERLINK("https://creighton-primo.hosted.exlibrisgroup.com/primo-explore/search?tab=default_tab&amp;search_scope=EVERYTHING&amp;vid=01CRU&amp;lang=en_US&amp;offset=0&amp;query=any,contains,991003647109702656","Catalog Record")</f>
        <v/>
      </c>
      <c r="AT84">
        <f>HYPERLINK("http://www.worldcat.org/oclc/34024605","WorldCat Record")</f>
        <v/>
      </c>
      <c r="AU84" t="inlineStr">
        <is>
          <t>966814:eng</t>
        </is>
      </c>
      <c r="AV84" t="inlineStr">
        <is>
          <t>34024605</t>
        </is>
      </c>
      <c r="AW84" t="inlineStr">
        <is>
          <t>991003647109702656</t>
        </is>
      </c>
      <c r="AX84" t="inlineStr">
        <is>
          <t>991003647109702656</t>
        </is>
      </c>
      <c r="AY84" t="inlineStr">
        <is>
          <t>2258282600002656</t>
        </is>
      </c>
      <c r="AZ84" t="inlineStr">
        <is>
          <t>BOOK</t>
        </is>
      </c>
      <c r="BB84" t="inlineStr">
        <is>
          <t>9780300064919</t>
        </is>
      </c>
      <c r="BC84" t="inlineStr">
        <is>
          <t>32285004464201</t>
        </is>
      </c>
      <c r="BD84" t="inlineStr">
        <is>
          <t>893324307</t>
        </is>
      </c>
    </row>
    <row r="85">
      <c r="A85" t="inlineStr">
        <is>
          <t>No</t>
        </is>
      </c>
      <c r="B85" t="inlineStr">
        <is>
          <t>NA270 .S3</t>
        </is>
      </c>
      <c r="C85" t="inlineStr">
        <is>
          <t>0                      NA 0270000S  3</t>
        </is>
      </c>
      <c r="D85" t="inlineStr">
        <is>
          <t>Greek architecture.</t>
        </is>
      </c>
      <c r="F85" t="inlineStr">
        <is>
          <t>No</t>
        </is>
      </c>
      <c r="G85" t="inlineStr">
        <is>
          <t>1</t>
        </is>
      </c>
      <c r="H85" t="inlineStr">
        <is>
          <t>No</t>
        </is>
      </c>
      <c r="I85" t="inlineStr">
        <is>
          <t>No</t>
        </is>
      </c>
      <c r="J85" t="inlineStr">
        <is>
          <t>0</t>
        </is>
      </c>
      <c r="K85" t="inlineStr">
        <is>
          <t>Scranton, Robert, 1912-1993.</t>
        </is>
      </c>
      <c r="L85" t="inlineStr">
        <is>
          <t>New York : G. Braziller, 1962.</t>
        </is>
      </c>
      <c r="M85" t="inlineStr">
        <is>
          <t>1962</t>
        </is>
      </c>
      <c r="O85" t="inlineStr">
        <is>
          <t>eng</t>
        </is>
      </c>
      <c r="P85" t="inlineStr">
        <is>
          <t>nyu</t>
        </is>
      </c>
      <c r="Q85" t="inlineStr">
        <is>
          <t>The Great ages of world architecture</t>
        </is>
      </c>
      <c r="R85" t="inlineStr">
        <is>
          <t xml:space="preserve">NA </t>
        </is>
      </c>
      <c r="S85" t="n">
        <v>7</v>
      </c>
      <c r="T85" t="n">
        <v>7</v>
      </c>
      <c r="U85" t="inlineStr">
        <is>
          <t>2009-02-02</t>
        </is>
      </c>
      <c r="V85" t="inlineStr">
        <is>
          <t>2009-02-02</t>
        </is>
      </c>
      <c r="W85" t="inlineStr">
        <is>
          <t>1995-05-11</t>
        </is>
      </c>
      <c r="X85" t="inlineStr">
        <is>
          <t>1995-05-11</t>
        </is>
      </c>
      <c r="Y85" t="n">
        <v>1145</v>
      </c>
      <c r="Z85" t="n">
        <v>1060</v>
      </c>
      <c r="AA85" t="n">
        <v>1265</v>
      </c>
      <c r="AB85" t="n">
        <v>8</v>
      </c>
      <c r="AC85" t="n">
        <v>8</v>
      </c>
      <c r="AD85" t="n">
        <v>36</v>
      </c>
      <c r="AE85" t="n">
        <v>41</v>
      </c>
      <c r="AF85" t="n">
        <v>16</v>
      </c>
      <c r="AG85" t="n">
        <v>20</v>
      </c>
      <c r="AH85" t="n">
        <v>4</v>
      </c>
      <c r="AI85" t="n">
        <v>4</v>
      </c>
      <c r="AJ85" t="n">
        <v>19</v>
      </c>
      <c r="AK85" t="n">
        <v>21</v>
      </c>
      <c r="AL85" t="n">
        <v>6</v>
      </c>
      <c r="AM85" t="n">
        <v>6</v>
      </c>
      <c r="AN85" t="n">
        <v>0</v>
      </c>
      <c r="AO85" t="n">
        <v>0</v>
      </c>
      <c r="AP85" t="inlineStr">
        <is>
          <t>No</t>
        </is>
      </c>
      <c r="AQ85" t="inlineStr">
        <is>
          <t>Yes</t>
        </is>
      </c>
      <c r="AR85">
        <f>HYPERLINK("http://catalog.hathitrust.org/Record/000409153","HathiTrust Record")</f>
        <v/>
      </c>
      <c r="AS85">
        <f>HYPERLINK("https://creighton-primo.hosted.exlibrisgroup.com/primo-explore/search?tab=default_tab&amp;search_scope=EVERYTHING&amp;vid=01CRU&amp;lang=en_US&amp;offset=0&amp;query=any,contains,991002892299702656","Catalog Record")</f>
        <v/>
      </c>
      <c r="AT85">
        <f>HYPERLINK("http://www.worldcat.org/oclc/512301","WorldCat Record")</f>
        <v/>
      </c>
      <c r="AU85" t="inlineStr">
        <is>
          <t>8908338415:eng</t>
        </is>
      </c>
      <c r="AV85" t="inlineStr">
        <is>
          <t>512301</t>
        </is>
      </c>
      <c r="AW85" t="inlineStr">
        <is>
          <t>991002892299702656</t>
        </is>
      </c>
      <c r="AX85" t="inlineStr">
        <is>
          <t>991002892299702656</t>
        </is>
      </c>
      <c r="AY85" t="inlineStr">
        <is>
          <t>2263291500002656</t>
        </is>
      </c>
      <c r="AZ85" t="inlineStr">
        <is>
          <t>BOOK</t>
        </is>
      </c>
      <c r="BC85" t="inlineStr">
        <is>
          <t>32285002033909</t>
        </is>
      </c>
      <c r="BD85" t="inlineStr">
        <is>
          <t>893511321</t>
        </is>
      </c>
    </row>
    <row r="86">
      <c r="A86" t="inlineStr">
        <is>
          <t>No</t>
        </is>
      </c>
      <c r="B86" t="inlineStr">
        <is>
          <t>NA2700 .B44</t>
        </is>
      </c>
      <c r="C86" t="inlineStr">
        <is>
          <t>0                      NA 2700000B  44</t>
        </is>
      </c>
      <c r="D86" t="inlineStr">
        <is>
          <t>Architectural drafting / [by] Herbert F. Bellis [and] Walter A. Schmidt.</t>
        </is>
      </c>
      <c r="F86" t="inlineStr">
        <is>
          <t>No</t>
        </is>
      </c>
      <c r="G86" t="inlineStr">
        <is>
          <t>1</t>
        </is>
      </c>
      <c r="H86" t="inlineStr">
        <is>
          <t>No</t>
        </is>
      </c>
      <c r="I86" t="inlineStr">
        <is>
          <t>No</t>
        </is>
      </c>
      <c r="J86" t="inlineStr">
        <is>
          <t>0</t>
        </is>
      </c>
      <c r="K86" t="inlineStr">
        <is>
          <t>Bellis, Herbert F.</t>
        </is>
      </c>
      <c r="L86" t="inlineStr">
        <is>
          <t>New York : McGraw-Hill, 1961.</t>
        </is>
      </c>
      <c r="M86" t="inlineStr">
        <is>
          <t>1961</t>
        </is>
      </c>
      <c r="O86" t="inlineStr">
        <is>
          <t>eng</t>
        </is>
      </c>
      <c r="P86" t="inlineStr">
        <is>
          <t xml:space="preserve">xx </t>
        </is>
      </c>
      <c r="R86" t="inlineStr">
        <is>
          <t xml:space="preserve">NA </t>
        </is>
      </c>
      <c r="S86" t="n">
        <v>7</v>
      </c>
      <c r="T86" t="n">
        <v>7</v>
      </c>
      <c r="U86" t="inlineStr">
        <is>
          <t>2005-10-02</t>
        </is>
      </c>
      <c r="V86" t="inlineStr">
        <is>
          <t>2005-10-02</t>
        </is>
      </c>
      <c r="W86" t="inlineStr">
        <is>
          <t>1992-06-24</t>
        </is>
      </c>
      <c r="X86" t="inlineStr">
        <is>
          <t>1992-06-24</t>
        </is>
      </c>
      <c r="Y86" t="n">
        <v>175</v>
      </c>
      <c r="Z86" t="n">
        <v>155</v>
      </c>
      <c r="AA86" t="n">
        <v>308</v>
      </c>
      <c r="AB86" t="n">
        <v>4</v>
      </c>
      <c r="AC86" t="n">
        <v>4</v>
      </c>
      <c r="AD86" t="n">
        <v>3</v>
      </c>
      <c r="AE86" t="n">
        <v>4</v>
      </c>
      <c r="AF86" t="n">
        <v>0</v>
      </c>
      <c r="AG86" t="n">
        <v>0</v>
      </c>
      <c r="AH86" t="n">
        <v>0</v>
      </c>
      <c r="AI86" t="n">
        <v>0</v>
      </c>
      <c r="AJ86" t="n">
        <v>0</v>
      </c>
      <c r="AK86" t="n">
        <v>1</v>
      </c>
      <c r="AL86" t="n">
        <v>3</v>
      </c>
      <c r="AM86" t="n">
        <v>3</v>
      </c>
      <c r="AN86" t="n">
        <v>0</v>
      </c>
      <c r="AO86" t="n">
        <v>0</v>
      </c>
      <c r="AP86" t="inlineStr">
        <is>
          <t>Yes</t>
        </is>
      </c>
      <c r="AQ86" t="inlineStr">
        <is>
          <t>No</t>
        </is>
      </c>
      <c r="AR86">
        <f>HYPERLINK("http://catalog.hathitrust.org/Record/000562860","HathiTrust Record")</f>
        <v/>
      </c>
      <c r="AS86">
        <f>HYPERLINK("https://creighton-primo.hosted.exlibrisgroup.com/primo-explore/search?tab=default_tab&amp;search_scope=EVERYTHING&amp;vid=01CRU&amp;lang=en_US&amp;offset=0&amp;query=any,contains,991003665729702656","Catalog Record")</f>
        <v/>
      </c>
      <c r="AT86">
        <f>HYPERLINK("http://www.worldcat.org/oclc/1279101","WorldCat Record")</f>
        <v/>
      </c>
      <c r="AU86" t="inlineStr">
        <is>
          <t>404781:eng</t>
        </is>
      </c>
      <c r="AV86" t="inlineStr">
        <is>
          <t>1279101</t>
        </is>
      </c>
      <c r="AW86" t="inlineStr">
        <is>
          <t>991003665729702656</t>
        </is>
      </c>
      <c r="AX86" t="inlineStr">
        <is>
          <t>991003665729702656</t>
        </is>
      </c>
      <c r="AY86" t="inlineStr">
        <is>
          <t>2261094730002656</t>
        </is>
      </c>
      <c r="AZ86" t="inlineStr">
        <is>
          <t>BOOK</t>
        </is>
      </c>
      <c r="BC86" t="inlineStr">
        <is>
          <t>32285001134005</t>
        </is>
      </c>
      <c r="BD86" t="inlineStr">
        <is>
          <t>893531452</t>
        </is>
      </c>
    </row>
    <row r="87">
      <c r="A87" t="inlineStr">
        <is>
          <t>No</t>
        </is>
      </c>
      <c r="B87" t="inlineStr">
        <is>
          <t>NA2700 .N44 1983</t>
        </is>
      </c>
      <c r="C87" t="inlineStr">
        <is>
          <t>0                      NA 2700000N  44          1983</t>
        </is>
      </c>
      <c r="D87" t="inlineStr">
        <is>
          <t>Handbook of architectural and civil drafting / John A. Nelson.</t>
        </is>
      </c>
      <c r="F87" t="inlineStr">
        <is>
          <t>No</t>
        </is>
      </c>
      <c r="G87" t="inlineStr">
        <is>
          <t>1</t>
        </is>
      </c>
      <c r="H87" t="inlineStr">
        <is>
          <t>No</t>
        </is>
      </c>
      <c r="I87" t="inlineStr">
        <is>
          <t>No</t>
        </is>
      </c>
      <c r="J87" t="inlineStr">
        <is>
          <t>0</t>
        </is>
      </c>
      <c r="K87" t="inlineStr">
        <is>
          <t>Nelson, John A., 1935-</t>
        </is>
      </c>
      <c r="L87" t="inlineStr">
        <is>
          <t>New York : Van Nostrand Reinhold, c1983.</t>
        </is>
      </c>
      <c r="M87" t="inlineStr">
        <is>
          <t>1983</t>
        </is>
      </c>
      <c r="O87" t="inlineStr">
        <is>
          <t>eng</t>
        </is>
      </c>
      <c r="P87" t="inlineStr">
        <is>
          <t>nyu</t>
        </is>
      </c>
      <c r="R87" t="inlineStr">
        <is>
          <t xml:space="preserve">NA </t>
        </is>
      </c>
      <c r="S87" t="n">
        <v>2</v>
      </c>
      <c r="T87" t="n">
        <v>2</v>
      </c>
      <c r="U87" t="inlineStr">
        <is>
          <t>2005-10-02</t>
        </is>
      </c>
      <c r="V87" t="inlineStr">
        <is>
          <t>2005-10-02</t>
        </is>
      </c>
      <c r="W87" t="inlineStr">
        <is>
          <t>2000-10-10</t>
        </is>
      </c>
      <c r="X87" t="inlineStr">
        <is>
          <t>2000-10-10</t>
        </is>
      </c>
      <c r="Y87" t="n">
        <v>203</v>
      </c>
      <c r="Z87" t="n">
        <v>167</v>
      </c>
      <c r="AA87" t="n">
        <v>169</v>
      </c>
      <c r="AB87" t="n">
        <v>3</v>
      </c>
      <c r="AC87" t="n">
        <v>3</v>
      </c>
      <c r="AD87" t="n">
        <v>4</v>
      </c>
      <c r="AE87" t="n">
        <v>4</v>
      </c>
      <c r="AF87" t="n">
        <v>2</v>
      </c>
      <c r="AG87" t="n">
        <v>2</v>
      </c>
      <c r="AH87" t="n">
        <v>0</v>
      </c>
      <c r="AI87" t="n">
        <v>0</v>
      </c>
      <c r="AJ87" t="n">
        <v>1</v>
      </c>
      <c r="AK87" t="n">
        <v>1</v>
      </c>
      <c r="AL87" t="n">
        <v>2</v>
      </c>
      <c r="AM87" t="n">
        <v>2</v>
      </c>
      <c r="AN87" t="n">
        <v>0</v>
      </c>
      <c r="AO87" t="n">
        <v>0</v>
      </c>
      <c r="AP87" t="inlineStr">
        <is>
          <t>No</t>
        </is>
      </c>
      <c r="AQ87" t="inlineStr">
        <is>
          <t>Yes</t>
        </is>
      </c>
      <c r="AR87">
        <f>HYPERLINK("http://catalog.hathitrust.org/Record/000776737","HathiTrust Record")</f>
        <v/>
      </c>
      <c r="AS87">
        <f>HYPERLINK("https://creighton-primo.hosted.exlibrisgroup.com/primo-explore/search?tab=default_tab&amp;search_scope=EVERYTHING&amp;vid=01CRU&amp;lang=en_US&amp;offset=0&amp;query=any,contains,991003306929702656","Catalog Record")</f>
        <v/>
      </c>
      <c r="AT87">
        <f>HYPERLINK("http://www.worldcat.org/oclc/9081511","WorldCat Record")</f>
        <v/>
      </c>
      <c r="AU87" t="inlineStr">
        <is>
          <t>43499383:eng</t>
        </is>
      </c>
      <c r="AV87" t="inlineStr">
        <is>
          <t>9081511</t>
        </is>
      </c>
      <c r="AW87" t="inlineStr">
        <is>
          <t>991003306929702656</t>
        </is>
      </c>
      <c r="AX87" t="inlineStr">
        <is>
          <t>991003306929702656</t>
        </is>
      </c>
      <c r="AY87" t="inlineStr">
        <is>
          <t>2256078010002656</t>
        </is>
      </c>
      <c r="AZ87" t="inlineStr">
        <is>
          <t>BOOK</t>
        </is>
      </c>
      <c r="BB87" t="inlineStr">
        <is>
          <t>9780442268640</t>
        </is>
      </c>
      <c r="BC87" t="inlineStr">
        <is>
          <t>32285003767422</t>
        </is>
      </c>
      <c r="BD87" t="inlineStr">
        <is>
          <t>893774600</t>
        </is>
      </c>
    </row>
    <row r="88">
      <c r="A88" t="inlineStr">
        <is>
          <t>No</t>
        </is>
      </c>
      <c r="B88" t="inlineStr">
        <is>
          <t>NA2706.I8 S6 1993</t>
        </is>
      </c>
      <c r="C88" t="inlineStr">
        <is>
          <t>0                      NA 2706000I  8                  S  6           1993</t>
        </is>
      </c>
      <c r="D88" t="inlineStr">
        <is>
          <t>Architectural diplomacy : Rome and Paris in the late Baroque / Gil R. Smith.</t>
        </is>
      </c>
      <c r="F88" t="inlineStr">
        <is>
          <t>No</t>
        </is>
      </c>
      <c r="G88" t="inlineStr">
        <is>
          <t>1</t>
        </is>
      </c>
      <c r="H88" t="inlineStr">
        <is>
          <t>No</t>
        </is>
      </c>
      <c r="I88" t="inlineStr">
        <is>
          <t>No</t>
        </is>
      </c>
      <c r="J88" t="inlineStr">
        <is>
          <t>0</t>
        </is>
      </c>
      <c r="K88" t="inlineStr">
        <is>
          <t>Smith, Gil R., 1952-</t>
        </is>
      </c>
      <c r="L88" t="inlineStr">
        <is>
          <t>New York : Architectural History Foundation ; Cambridge, Mass. : MIT Press, c1993.</t>
        </is>
      </c>
      <c r="M88" t="inlineStr">
        <is>
          <t>1993</t>
        </is>
      </c>
      <c r="O88" t="inlineStr">
        <is>
          <t>eng</t>
        </is>
      </c>
      <c r="P88" t="inlineStr">
        <is>
          <t>nyu</t>
        </is>
      </c>
      <c r="R88" t="inlineStr">
        <is>
          <t xml:space="preserve">NA </t>
        </is>
      </c>
      <c r="S88" t="n">
        <v>1</v>
      </c>
      <c r="T88" t="n">
        <v>1</v>
      </c>
      <c r="U88" t="inlineStr">
        <is>
          <t>2010-01-21</t>
        </is>
      </c>
      <c r="V88" t="inlineStr">
        <is>
          <t>2010-01-21</t>
        </is>
      </c>
      <c r="W88" t="inlineStr">
        <is>
          <t>2010-01-21</t>
        </is>
      </c>
      <c r="X88" t="inlineStr">
        <is>
          <t>2010-01-21</t>
        </is>
      </c>
      <c r="Y88" t="n">
        <v>311</v>
      </c>
      <c r="Z88" t="n">
        <v>218</v>
      </c>
      <c r="AA88" t="n">
        <v>222</v>
      </c>
      <c r="AB88" t="n">
        <v>2</v>
      </c>
      <c r="AC88" t="n">
        <v>2</v>
      </c>
      <c r="AD88" t="n">
        <v>7</v>
      </c>
      <c r="AE88" t="n">
        <v>8</v>
      </c>
      <c r="AF88" t="n">
        <v>1</v>
      </c>
      <c r="AG88" t="n">
        <v>1</v>
      </c>
      <c r="AH88" t="n">
        <v>2</v>
      </c>
      <c r="AI88" t="n">
        <v>3</v>
      </c>
      <c r="AJ88" t="n">
        <v>3</v>
      </c>
      <c r="AK88" t="n">
        <v>4</v>
      </c>
      <c r="AL88" t="n">
        <v>1</v>
      </c>
      <c r="AM88" t="n">
        <v>1</v>
      </c>
      <c r="AN88" t="n">
        <v>0</v>
      </c>
      <c r="AO88" t="n">
        <v>0</v>
      </c>
      <c r="AP88" t="inlineStr">
        <is>
          <t>No</t>
        </is>
      </c>
      <c r="AQ88" t="inlineStr">
        <is>
          <t>Yes</t>
        </is>
      </c>
      <c r="AR88">
        <f>HYPERLINK("http://catalog.hathitrust.org/Record/002654713","HathiTrust Record")</f>
        <v/>
      </c>
      <c r="AS88">
        <f>HYPERLINK("https://creighton-primo.hosted.exlibrisgroup.com/primo-explore/search?tab=default_tab&amp;search_scope=EVERYTHING&amp;vid=01CRU&amp;lang=en_US&amp;offset=0&amp;query=any,contains,991005350459702656","Catalog Record")</f>
        <v/>
      </c>
      <c r="AT88">
        <f>HYPERLINK("http://www.worldcat.org/oclc/25553180","WorldCat Record")</f>
        <v/>
      </c>
      <c r="AU88" t="inlineStr">
        <is>
          <t>118135251:eng</t>
        </is>
      </c>
      <c r="AV88" t="inlineStr">
        <is>
          <t>25553180</t>
        </is>
      </c>
      <c r="AW88" t="inlineStr">
        <is>
          <t>991005350459702656</t>
        </is>
      </c>
      <c r="AX88" t="inlineStr">
        <is>
          <t>991005350459702656</t>
        </is>
      </c>
      <c r="AY88" t="inlineStr">
        <is>
          <t>2271322070002656</t>
        </is>
      </c>
      <c r="AZ88" t="inlineStr">
        <is>
          <t>BOOK</t>
        </is>
      </c>
      <c r="BB88" t="inlineStr">
        <is>
          <t>9780262193238</t>
        </is>
      </c>
      <c r="BC88" t="inlineStr">
        <is>
          <t>32285005558902</t>
        </is>
      </c>
      <c r="BD88" t="inlineStr">
        <is>
          <t>893890068</t>
        </is>
      </c>
    </row>
    <row r="89">
      <c r="A89" t="inlineStr">
        <is>
          <t>No</t>
        </is>
      </c>
      <c r="B89" t="inlineStr">
        <is>
          <t>NA2707.W7 A4 1988</t>
        </is>
      </c>
      <c r="C89" t="inlineStr">
        <is>
          <t>0                      NA 2707000W  7                  A  4           1988</t>
        </is>
      </c>
      <c r="D89" t="inlineStr">
        <is>
          <t>Sir Christopher Wren : the design of St. Paul's Cathedral : introduction and catalogue / by Kerry Downes.</t>
        </is>
      </c>
      <c r="F89" t="inlineStr">
        <is>
          <t>No</t>
        </is>
      </c>
      <c r="G89" t="inlineStr">
        <is>
          <t>1</t>
        </is>
      </c>
      <c r="H89" t="inlineStr">
        <is>
          <t>No</t>
        </is>
      </c>
      <c r="I89" t="inlineStr">
        <is>
          <t>No</t>
        </is>
      </c>
      <c r="J89" t="inlineStr">
        <is>
          <t>0</t>
        </is>
      </c>
      <c r="K89" t="inlineStr">
        <is>
          <t>Downes, Kerry.</t>
        </is>
      </c>
      <c r="L89" t="inlineStr">
        <is>
          <t>London : Trefoil Publications ; Washington, D.C. : American Institute of Architects Press, 1988, c1987, 1990 printing.</t>
        </is>
      </c>
      <c r="M89" t="inlineStr">
        <is>
          <t>1988</t>
        </is>
      </c>
      <c r="O89" t="inlineStr">
        <is>
          <t>eng</t>
        </is>
      </c>
      <c r="P89" t="inlineStr">
        <is>
          <t>enk</t>
        </is>
      </c>
      <c r="R89" t="inlineStr">
        <is>
          <t xml:space="preserve">NA </t>
        </is>
      </c>
      <c r="S89" t="n">
        <v>2</v>
      </c>
      <c r="T89" t="n">
        <v>2</v>
      </c>
      <c r="U89" t="inlineStr">
        <is>
          <t>2003-03-03</t>
        </is>
      </c>
      <c r="V89" t="inlineStr">
        <is>
          <t>2003-03-03</t>
        </is>
      </c>
      <c r="W89" t="inlineStr">
        <is>
          <t>1990-06-20</t>
        </is>
      </c>
      <c r="X89" t="inlineStr">
        <is>
          <t>1990-06-20</t>
        </is>
      </c>
      <c r="Y89" t="n">
        <v>444</v>
      </c>
      <c r="Z89" t="n">
        <v>366</v>
      </c>
      <c r="AA89" t="n">
        <v>390</v>
      </c>
      <c r="AB89" t="n">
        <v>3</v>
      </c>
      <c r="AC89" t="n">
        <v>3</v>
      </c>
      <c r="AD89" t="n">
        <v>12</v>
      </c>
      <c r="AE89" t="n">
        <v>12</v>
      </c>
      <c r="AF89" t="n">
        <v>2</v>
      </c>
      <c r="AG89" t="n">
        <v>2</v>
      </c>
      <c r="AH89" t="n">
        <v>2</v>
      </c>
      <c r="AI89" t="n">
        <v>2</v>
      </c>
      <c r="AJ89" t="n">
        <v>6</v>
      </c>
      <c r="AK89" t="n">
        <v>6</v>
      </c>
      <c r="AL89" t="n">
        <v>2</v>
      </c>
      <c r="AM89" t="n">
        <v>2</v>
      </c>
      <c r="AN89" t="n">
        <v>0</v>
      </c>
      <c r="AO89" t="n">
        <v>0</v>
      </c>
      <c r="AP89" t="inlineStr">
        <is>
          <t>No</t>
        </is>
      </c>
      <c r="AQ89" t="inlineStr">
        <is>
          <t>Yes</t>
        </is>
      </c>
      <c r="AR89">
        <f>HYPERLINK("http://catalog.hathitrust.org/Record/008509562","HathiTrust Record")</f>
        <v/>
      </c>
      <c r="AS89">
        <f>HYPERLINK("https://creighton-primo.hosted.exlibrisgroup.com/primo-explore/search?tab=default_tab&amp;search_scope=EVERYTHING&amp;vid=01CRU&amp;lang=en_US&amp;offset=0&amp;query=any,contains,991001612239702656","Catalog Record")</f>
        <v/>
      </c>
      <c r="AT89">
        <f>HYPERLINK("http://www.worldcat.org/oclc/20753952","WorldCat Record")</f>
        <v/>
      </c>
      <c r="AU89" t="inlineStr">
        <is>
          <t>152310950:eng</t>
        </is>
      </c>
      <c r="AV89" t="inlineStr">
        <is>
          <t>20753952</t>
        </is>
      </c>
      <c r="AW89" t="inlineStr">
        <is>
          <t>991001612239702656</t>
        </is>
      </c>
      <c r="AX89" t="inlineStr">
        <is>
          <t>991001612239702656</t>
        </is>
      </c>
      <c r="AY89" t="inlineStr">
        <is>
          <t>2262450140002656</t>
        </is>
      </c>
      <c r="AZ89" t="inlineStr">
        <is>
          <t>BOOK</t>
        </is>
      </c>
      <c r="BB89" t="inlineStr">
        <is>
          <t>9781558350656</t>
        </is>
      </c>
      <c r="BC89" t="inlineStr">
        <is>
          <t>32285000178524</t>
        </is>
      </c>
      <c r="BD89" t="inlineStr">
        <is>
          <t>893225946</t>
        </is>
      </c>
    </row>
    <row r="90">
      <c r="A90" t="inlineStr">
        <is>
          <t>No</t>
        </is>
      </c>
      <c r="B90" t="inlineStr">
        <is>
          <t>NA2714 .P67 1992</t>
        </is>
      </c>
      <c r="C90" t="inlineStr">
        <is>
          <t>0                      NA 2714000P  67          1992</t>
        </is>
      </c>
      <c r="D90" t="inlineStr">
        <is>
          <t>Design drawing techniques for architects, graphic designers &amp; artists / Tom Porter and Sue Goodman.</t>
        </is>
      </c>
      <c r="F90" t="inlineStr">
        <is>
          <t>No</t>
        </is>
      </c>
      <c r="G90" t="inlineStr">
        <is>
          <t>1</t>
        </is>
      </c>
      <c r="H90" t="inlineStr">
        <is>
          <t>No</t>
        </is>
      </c>
      <c r="I90" t="inlineStr">
        <is>
          <t>No</t>
        </is>
      </c>
      <c r="J90" t="inlineStr">
        <is>
          <t>0</t>
        </is>
      </c>
      <c r="K90" t="inlineStr">
        <is>
          <t>Porter, Tom.</t>
        </is>
      </c>
      <c r="L90" t="inlineStr">
        <is>
          <t>Oxford : Butterworth Architecture, 1992, c1991.</t>
        </is>
      </c>
      <c r="M90" t="inlineStr">
        <is>
          <t>1992</t>
        </is>
      </c>
      <c r="O90" t="inlineStr">
        <is>
          <t>eng</t>
        </is>
      </c>
      <c r="P90" t="inlineStr">
        <is>
          <t>enk</t>
        </is>
      </c>
      <c r="R90" t="inlineStr">
        <is>
          <t xml:space="preserve">NA </t>
        </is>
      </c>
      <c r="S90" t="n">
        <v>5</v>
      </c>
      <c r="T90" t="n">
        <v>5</v>
      </c>
      <c r="U90" t="inlineStr">
        <is>
          <t>2006-02-22</t>
        </is>
      </c>
      <c r="V90" t="inlineStr">
        <is>
          <t>2006-02-22</t>
        </is>
      </c>
      <c r="W90" t="inlineStr">
        <is>
          <t>1997-06-16</t>
        </is>
      </c>
      <c r="X90" t="inlineStr">
        <is>
          <t>1997-06-16</t>
        </is>
      </c>
      <c r="Y90" t="n">
        <v>97</v>
      </c>
      <c r="Z90" t="n">
        <v>15</v>
      </c>
      <c r="AA90" t="n">
        <v>136</v>
      </c>
      <c r="AB90" t="n">
        <v>1</v>
      </c>
      <c r="AC90" t="n">
        <v>3</v>
      </c>
      <c r="AD90" t="n">
        <v>0</v>
      </c>
      <c r="AE90" t="n">
        <v>3</v>
      </c>
      <c r="AF90" t="n">
        <v>0</v>
      </c>
      <c r="AG90" t="n">
        <v>0</v>
      </c>
      <c r="AH90" t="n">
        <v>0</v>
      </c>
      <c r="AI90" t="n">
        <v>0</v>
      </c>
      <c r="AJ90" t="n">
        <v>0</v>
      </c>
      <c r="AK90" t="n">
        <v>1</v>
      </c>
      <c r="AL90" t="n">
        <v>0</v>
      </c>
      <c r="AM90" t="n">
        <v>2</v>
      </c>
      <c r="AN90" t="n">
        <v>0</v>
      </c>
      <c r="AO90" t="n">
        <v>0</v>
      </c>
      <c r="AP90" t="inlineStr">
        <is>
          <t>No</t>
        </is>
      </c>
      <c r="AQ90" t="inlineStr">
        <is>
          <t>No</t>
        </is>
      </c>
      <c r="AS90">
        <f>HYPERLINK("https://creighton-primo.hosted.exlibrisgroup.com/primo-explore/search?tab=default_tab&amp;search_scope=EVERYTHING&amp;vid=01CRU&amp;lang=en_US&amp;offset=0&amp;query=any,contains,991002096969702656","Catalog Record")</f>
        <v/>
      </c>
      <c r="AT90">
        <f>HYPERLINK("http://www.worldcat.org/oclc/122691272","WorldCat Record")</f>
        <v/>
      </c>
      <c r="AU90" t="inlineStr">
        <is>
          <t>3768361308:eng</t>
        </is>
      </c>
      <c r="AV90" t="inlineStr">
        <is>
          <t>122691272</t>
        </is>
      </c>
      <c r="AW90" t="inlineStr">
        <is>
          <t>991002096969702656</t>
        </is>
      </c>
      <c r="AX90" t="inlineStr">
        <is>
          <t>991002096969702656</t>
        </is>
      </c>
      <c r="AY90" t="inlineStr">
        <is>
          <t>2269259260002656</t>
        </is>
      </c>
      <c r="AZ90" t="inlineStr">
        <is>
          <t>BOOK</t>
        </is>
      </c>
      <c r="BB90" t="inlineStr">
        <is>
          <t>9780750608121</t>
        </is>
      </c>
      <c r="BC90" t="inlineStr">
        <is>
          <t>32285002751542</t>
        </is>
      </c>
      <c r="BD90" t="inlineStr">
        <is>
          <t>893510289</t>
        </is>
      </c>
    </row>
    <row r="91">
      <c r="A91" t="inlineStr">
        <is>
          <t>No</t>
        </is>
      </c>
      <c r="B91" t="inlineStr">
        <is>
          <t>NA275 .S3 1979</t>
        </is>
      </c>
      <c r="C91" t="inlineStr">
        <is>
          <t>0                      NA 0275000S  3           1979</t>
        </is>
      </c>
      <c r="D91" t="inlineStr">
        <is>
          <t>The earth, the temple, and the gods : Greek sacred architecture / Vincent Scully.</t>
        </is>
      </c>
      <c r="F91" t="inlineStr">
        <is>
          <t>No</t>
        </is>
      </c>
      <c r="G91" t="inlineStr">
        <is>
          <t>1</t>
        </is>
      </c>
      <c r="H91" t="inlineStr">
        <is>
          <t>No</t>
        </is>
      </c>
      <c r="I91" t="inlineStr">
        <is>
          <t>No</t>
        </is>
      </c>
      <c r="J91" t="inlineStr">
        <is>
          <t>0</t>
        </is>
      </c>
      <c r="K91" t="inlineStr">
        <is>
          <t>Scully, Vincent, Jr., 1920-2017.</t>
        </is>
      </c>
      <c r="L91" t="inlineStr">
        <is>
          <t>New Haven : Yale University Press, c1979.</t>
        </is>
      </c>
      <c r="M91" t="inlineStr">
        <is>
          <t>1979</t>
        </is>
      </c>
      <c r="N91" t="inlineStr">
        <is>
          <t>Rev. ed.</t>
        </is>
      </c>
      <c r="O91" t="inlineStr">
        <is>
          <t>eng</t>
        </is>
      </c>
      <c r="P91" t="inlineStr">
        <is>
          <t>ctu</t>
        </is>
      </c>
      <c r="R91" t="inlineStr">
        <is>
          <t xml:space="preserve">NA </t>
        </is>
      </c>
      <c r="S91" t="n">
        <v>16</v>
      </c>
      <c r="T91" t="n">
        <v>16</v>
      </c>
      <c r="U91" t="inlineStr">
        <is>
          <t>2009-11-05</t>
        </is>
      </c>
      <c r="V91" t="inlineStr">
        <is>
          <t>2009-11-05</t>
        </is>
      </c>
      <c r="W91" t="inlineStr">
        <is>
          <t>1992-12-14</t>
        </is>
      </c>
      <c r="X91" t="inlineStr">
        <is>
          <t>1992-12-14</t>
        </is>
      </c>
      <c r="Y91" t="n">
        <v>568</v>
      </c>
      <c r="Z91" t="n">
        <v>472</v>
      </c>
      <c r="AA91" t="n">
        <v>1313</v>
      </c>
      <c r="AB91" t="n">
        <v>5</v>
      </c>
      <c r="AC91" t="n">
        <v>13</v>
      </c>
      <c r="AD91" t="n">
        <v>24</v>
      </c>
      <c r="AE91" t="n">
        <v>53</v>
      </c>
      <c r="AF91" t="n">
        <v>11</v>
      </c>
      <c r="AG91" t="n">
        <v>23</v>
      </c>
      <c r="AH91" t="n">
        <v>5</v>
      </c>
      <c r="AI91" t="n">
        <v>11</v>
      </c>
      <c r="AJ91" t="n">
        <v>11</v>
      </c>
      <c r="AK91" t="n">
        <v>22</v>
      </c>
      <c r="AL91" t="n">
        <v>3</v>
      </c>
      <c r="AM91" t="n">
        <v>10</v>
      </c>
      <c r="AN91" t="n">
        <v>0</v>
      </c>
      <c r="AO91" t="n">
        <v>0</v>
      </c>
      <c r="AP91" t="inlineStr">
        <is>
          <t>No</t>
        </is>
      </c>
      <c r="AQ91" t="inlineStr">
        <is>
          <t>No</t>
        </is>
      </c>
      <c r="AS91">
        <f>HYPERLINK("https://creighton-primo.hosted.exlibrisgroup.com/primo-explore/search?tab=default_tab&amp;search_scope=EVERYTHING&amp;vid=01CRU&amp;lang=en_US&amp;offset=0&amp;query=any,contains,991004749659702656","Catalog Record")</f>
        <v/>
      </c>
      <c r="AT91">
        <f>HYPERLINK("http://www.worldcat.org/oclc/4933030","WorldCat Record")</f>
        <v/>
      </c>
      <c r="AU91" t="inlineStr">
        <is>
          <t>435437:eng</t>
        </is>
      </c>
      <c r="AV91" t="inlineStr">
        <is>
          <t>4933030</t>
        </is>
      </c>
      <c r="AW91" t="inlineStr">
        <is>
          <t>991004749659702656</t>
        </is>
      </c>
      <c r="AX91" t="inlineStr">
        <is>
          <t>991004749659702656</t>
        </is>
      </c>
      <c r="AY91" t="inlineStr">
        <is>
          <t>2268888430002656</t>
        </is>
      </c>
      <c r="AZ91" t="inlineStr">
        <is>
          <t>BOOK</t>
        </is>
      </c>
      <c r="BB91" t="inlineStr">
        <is>
          <t>9780300024319</t>
        </is>
      </c>
      <c r="BC91" t="inlineStr">
        <is>
          <t>32285001466316</t>
        </is>
      </c>
      <c r="BD91" t="inlineStr">
        <is>
          <t>893870061</t>
        </is>
      </c>
    </row>
    <row r="92">
      <c r="A92" t="inlineStr">
        <is>
          <t>No</t>
        </is>
      </c>
      <c r="B92" t="inlineStr">
        <is>
          <t>NA2750 .S94 1980</t>
        </is>
      </c>
      <c r="C92" t="inlineStr">
        <is>
          <t>0                      NA 2750000S  94          1980</t>
        </is>
      </c>
      <c r="D92" t="inlineStr">
        <is>
          <t>Design cost analysis for architects and engineers / Herbert Swinburne.</t>
        </is>
      </c>
      <c r="F92" t="inlineStr">
        <is>
          <t>No</t>
        </is>
      </c>
      <c r="G92" t="inlineStr">
        <is>
          <t>1</t>
        </is>
      </c>
      <c r="H92" t="inlineStr">
        <is>
          <t>No</t>
        </is>
      </c>
      <c r="I92" t="inlineStr">
        <is>
          <t>No</t>
        </is>
      </c>
      <c r="J92" t="inlineStr">
        <is>
          <t>0</t>
        </is>
      </c>
      <c r="K92" t="inlineStr">
        <is>
          <t>Swinburne, Herbert.</t>
        </is>
      </c>
      <c r="L92" t="inlineStr">
        <is>
          <t>New York : McGraw-Hill, c1980.</t>
        </is>
      </c>
      <c r="M92" t="inlineStr">
        <is>
          <t>1980</t>
        </is>
      </c>
      <c r="O92" t="inlineStr">
        <is>
          <t>eng</t>
        </is>
      </c>
      <c r="P92" t="inlineStr">
        <is>
          <t>nyu</t>
        </is>
      </c>
      <c r="R92" t="inlineStr">
        <is>
          <t xml:space="preserve">NA </t>
        </is>
      </c>
      <c r="S92" t="n">
        <v>1</v>
      </c>
      <c r="T92" t="n">
        <v>1</v>
      </c>
      <c r="U92" t="inlineStr">
        <is>
          <t>2005-10-02</t>
        </is>
      </c>
      <c r="V92" t="inlineStr">
        <is>
          <t>2005-10-02</t>
        </is>
      </c>
      <c r="W92" t="inlineStr">
        <is>
          <t>1998-12-17</t>
        </is>
      </c>
      <c r="X92" t="inlineStr">
        <is>
          <t>1998-12-17</t>
        </is>
      </c>
      <c r="Y92" t="n">
        <v>224</v>
      </c>
      <c r="Z92" t="n">
        <v>169</v>
      </c>
      <c r="AA92" t="n">
        <v>176</v>
      </c>
      <c r="AB92" t="n">
        <v>2</v>
      </c>
      <c r="AC92" t="n">
        <v>2</v>
      </c>
      <c r="AD92" t="n">
        <v>3</v>
      </c>
      <c r="AE92" t="n">
        <v>3</v>
      </c>
      <c r="AF92" t="n">
        <v>1</v>
      </c>
      <c r="AG92" t="n">
        <v>1</v>
      </c>
      <c r="AH92" t="n">
        <v>0</v>
      </c>
      <c r="AI92" t="n">
        <v>0</v>
      </c>
      <c r="AJ92" t="n">
        <v>1</v>
      </c>
      <c r="AK92" t="n">
        <v>1</v>
      </c>
      <c r="AL92" t="n">
        <v>1</v>
      </c>
      <c r="AM92" t="n">
        <v>1</v>
      </c>
      <c r="AN92" t="n">
        <v>0</v>
      </c>
      <c r="AO92" t="n">
        <v>0</v>
      </c>
      <c r="AP92" t="inlineStr">
        <is>
          <t>No</t>
        </is>
      </c>
      <c r="AQ92" t="inlineStr">
        <is>
          <t>Yes</t>
        </is>
      </c>
      <c r="AR92">
        <f>HYPERLINK("http://catalog.hathitrust.org/Record/000710084","HathiTrust Record")</f>
        <v/>
      </c>
      <c r="AS92">
        <f>HYPERLINK("https://creighton-primo.hosted.exlibrisgroup.com/primo-explore/search?tab=default_tab&amp;search_scope=EVERYTHING&amp;vid=01CRU&amp;lang=en_US&amp;offset=0&amp;query=any,contains,991004757999702656","Catalog Record")</f>
        <v/>
      </c>
      <c r="AT92">
        <f>HYPERLINK("http://www.worldcat.org/oclc/4983044","WorldCat Record")</f>
        <v/>
      </c>
      <c r="AU92" t="inlineStr">
        <is>
          <t>15212018:eng</t>
        </is>
      </c>
      <c r="AV92" t="inlineStr">
        <is>
          <t>4983044</t>
        </is>
      </c>
      <c r="AW92" t="inlineStr">
        <is>
          <t>991004757999702656</t>
        </is>
      </c>
      <c r="AX92" t="inlineStr">
        <is>
          <t>991004757999702656</t>
        </is>
      </c>
      <c r="AY92" t="inlineStr">
        <is>
          <t>2266103220002656</t>
        </is>
      </c>
      <c r="AZ92" t="inlineStr">
        <is>
          <t>BOOK</t>
        </is>
      </c>
      <c r="BB92" t="inlineStr">
        <is>
          <t>9780070626355</t>
        </is>
      </c>
      <c r="BC92" t="inlineStr">
        <is>
          <t>32285003507539</t>
        </is>
      </c>
      <c r="BD92" t="inlineStr">
        <is>
          <t>893443016</t>
        </is>
      </c>
    </row>
    <row r="93">
      <c r="A93" t="inlineStr">
        <is>
          <t>No</t>
        </is>
      </c>
      <c r="B93" t="inlineStr">
        <is>
          <t>NA2760 .B53 1984</t>
        </is>
      </c>
      <c r="C93" t="inlineStr">
        <is>
          <t>0                      NA 2760000B  53          1984</t>
        </is>
      </c>
      <c r="D93" t="inlineStr">
        <is>
          <t>Geometry in architecture / William Blackwell.</t>
        </is>
      </c>
      <c r="F93" t="inlineStr">
        <is>
          <t>No</t>
        </is>
      </c>
      <c r="G93" t="inlineStr">
        <is>
          <t>1</t>
        </is>
      </c>
      <c r="H93" t="inlineStr">
        <is>
          <t>No</t>
        </is>
      </c>
      <c r="I93" t="inlineStr">
        <is>
          <t>No</t>
        </is>
      </c>
      <c r="J93" t="inlineStr">
        <is>
          <t>0</t>
        </is>
      </c>
      <c r="K93" t="inlineStr">
        <is>
          <t>Blackwell, William, 1929-</t>
        </is>
      </c>
      <c r="L93" t="inlineStr">
        <is>
          <t>New York : Wiley, c1984.</t>
        </is>
      </c>
      <c r="M93" t="inlineStr">
        <is>
          <t>1984</t>
        </is>
      </c>
      <c r="O93" t="inlineStr">
        <is>
          <t>eng</t>
        </is>
      </c>
      <c r="P93" t="inlineStr">
        <is>
          <t>nyu</t>
        </is>
      </c>
      <c r="R93" t="inlineStr">
        <is>
          <t xml:space="preserve">NA </t>
        </is>
      </c>
      <c r="S93" t="n">
        <v>3</v>
      </c>
      <c r="T93" t="n">
        <v>3</v>
      </c>
      <c r="U93" t="inlineStr">
        <is>
          <t>2005-10-02</t>
        </is>
      </c>
      <c r="V93" t="inlineStr">
        <is>
          <t>2005-10-02</t>
        </is>
      </c>
      <c r="W93" t="inlineStr">
        <is>
          <t>1993-05-14</t>
        </is>
      </c>
      <c r="X93" t="inlineStr">
        <is>
          <t>1993-05-14</t>
        </is>
      </c>
      <c r="Y93" t="n">
        <v>402</v>
      </c>
      <c r="Z93" t="n">
        <v>310</v>
      </c>
      <c r="AA93" t="n">
        <v>385</v>
      </c>
      <c r="AB93" t="n">
        <v>2</v>
      </c>
      <c r="AC93" t="n">
        <v>2</v>
      </c>
      <c r="AD93" t="n">
        <v>15</v>
      </c>
      <c r="AE93" t="n">
        <v>18</v>
      </c>
      <c r="AF93" t="n">
        <v>6</v>
      </c>
      <c r="AG93" t="n">
        <v>9</v>
      </c>
      <c r="AH93" t="n">
        <v>4</v>
      </c>
      <c r="AI93" t="n">
        <v>4</v>
      </c>
      <c r="AJ93" t="n">
        <v>6</v>
      </c>
      <c r="AK93" t="n">
        <v>7</v>
      </c>
      <c r="AL93" t="n">
        <v>1</v>
      </c>
      <c r="AM93" t="n">
        <v>1</v>
      </c>
      <c r="AN93" t="n">
        <v>0</v>
      </c>
      <c r="AO93" t="n">
        <v>0</v>
      </c>
      <c r="AP93" t="inlineStr">
        <is>
          <t>No</t>
        </is>
      </c>
      <c r="AQ93" t="inlineStr">
        <is>
          <t>Yes</t>
        </is>
      </c>
      <c r="AR93">
        <f>HYPERLINK("http://catalog.hathitrust.org/Record/000244305","HathiTrust Record")</f>
        <v/>
      </c>
      <c r="AS93">
        <f>HYPERLINK("https://creighton-primo.hosted.exlibrisgroup.com/primo-explore/search?tab=default_tab&amp;search_scope=EVERYTHING&amp;vid=01CRU&amp;lang=en_US&amp;offset=0&amp;query=any,contains,991000227969702656","Catalog Record")</f>
        <v/>
      </c>
      <c r="AT93">
        <f>HYPERLINK("http://www.worldcat.org/oclc/9622028","WorldCat Record")</f>
        <v/>
      </c>
      <c r="AU93" t="inlineStr">
        <is>
          <t>24942515:eng</t>
        </is>
      </c>
      <c r="AV93" t="inlineStr">
        <is>
          <t>9622028</t>
        </is>
      </c>
      <c r="AW93" t="inlineStr">
        <is>
          <t>991000227969702656</t>
        </is>
      </c>
      <c r="AX93" t="inlineStr">
        <is>
          <t>991000227969702656</t>
        </is>
      </c>
      <c r="AY93" t="inlineStr">
        <is>
          <t>2270894150002656</t>
        </is>
      </c>
      <c r="AZ93" t="inlineStr">
        <is>
          <t>BOOK</t>
        </is>
      </c>
      <c r="BB93" t="inlineStr">
        <is>
          <t>9780471096832</t>
        </is>
      </c>
      <c r="BC93" t="inlineStr">
        <is>
          <t>32285001655066</t>
        </is>
      </c>
      <c r="BD93" t="inlineStr">
        <is>
          <t>893683263</t>
        </is>
      </c>
    </row>
    <row r="94">
      <c r="A94" t="inlineStr">
        <is>
          <t>No</t>
        </is>
      </c>
      <c r="B94" t="inlineStr">
        <is>
          <t>NA2760 .M365 1990</t>
        </is>
      </c>
      <c r="C94" t="inlineStr">
        <is>
          <t>0                      NA 2760000M  365         1990</t>
        </is>
      </c>
      <c r="D94" t="inlineStr">
        <is>
          <t>Light, wind, and structure : the mystery of the master builders / Robert Mark.</t>
        </is>
      </c>
      <c r="F94" t="inlineStr">
        <is>
          <t>No</t>
        </is>
      </c>
      <c r="G94" t="inlineStr">
        <is>
          <t>1</t>
        </is>
      </c>
      <c r="H94" t="inlineStr">
        <is>
          <t>No</t>
        </is>
      </c>
      <c r="I94" t="inlineStr">
        <is>
          <t>No</t>
        </is>
      </c>
      <c r="J94" t="inlineStr">
        <is>
          <t>0</t>
        </is>
      </c>
      <c r="K94" t="inlineStr">
        <is>
          <t>Mark, Robert.</t>
        </is>
      </c>
      <c r="L94" t="inlineStr">
        <is>
          <t>New York : McGraw-Hill Pub. Co., c1990.</t>
        </is>
      </c>
      <c r="M94" t="inlineStr">
        <is>
          <t>1990</t>
        </is>
      </c>
      <c r="N94" t="inlineStr">
        <is>
          <t>[McGraw-Hill Edition].</t>
        </is>
      </c>
      <c r="O94" t="inlineStr">
        <is>
          <t>eng</t>
        </is>
      </c>
      <c r="P94" t="inlineStr">
        <is>
          <t>nyu</t>
        </is>
      </c>
      <c r="Q94" t="inlineStr">
        <is>
          <t>New liberal arts series</t>
        </is>
      </c>
      <c r="R94" t="inlineStr">
        <is>
          <t xml:space="preserve">NA </t>
        </is>
      </c>
      <c r="S94" t="n">
        <v>4</v>
      </c>
      <c r="T94" t="n">
        <v>4</v>
      </c>
      <c r="U94" t="inlineStr">
        <is>
          <t>1994-10-23</t>
        </is>
      </c>
      <c r="V94" t="inlineStr">
        <is>
          <t>1994-10-23</t>
        </is>
      </c>
      <c r="W94" t="inlineStr">
        <is>
          <t>1991-03-14</t>
        </is>
      </c>
      <c r="X94" t="inlineStr">
        <is>
          <t>1991-03-14</t>
        </is>
      </c>
      <c r="Y94" t="n">
        <v>455</v>
      </c>
      <c r="Z94" t="n">
        <v>403</v>
      </c>
      <c r="AA94" t="n">
        <v>637</v>
      </c>
      <c r="AB94" t="n">
        <v>3</v>
      </c>
      <c r="AC94" t="n">
        <v>4</v>
      </c>
      <c r="AD94" t="n">
        <v>16</v>
      </c>
      <c r="AE94" t="n">
        <v>27</v>
      </c>
      <c r="AF94" t="n">
        <v>7</v>
      </c>
      <c r="AG94" t="n">
        <v>10</v>
      </c>
      <c r="AH94" t="n">
        <v>5</v>
      </c>
      <c r="AI94" t="n">
        <v>7</v>
      </c>
      <c r="AJ94" t="n">
        <v>5</v>
      </c>
      <c r="AK94" t="n">
        <v>13</v>
      </c>
      <c r="AL94" t="n">
        <v>2</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HYPERLINK("https://creighton-primo.hosted.exlibrisgroup.com/primo-explore/search?tab=default_tab&amp;search_scope=EVERYTHING&amp;vid=01CRU&amp;lang=en_US&amp;offset=0&amp;query=any,contains,991001510909702656","Catalog Record")</f>
        <v/>
      </c>
      <c r="AT94">
        <f>HYPERLINK("http://www.worldcat.org/oclc/19888256","WorldCat Record")</f>
        <v/>
      </c>
      <c r="AU94" t="inlineStr">
        <is>
          <t>21762821:eng</t>
        </is>
      </c>
      <c r="AV94" t="inlineStr">
        <is>
          <t>19888256</t>
        </is>
      </c>
      <c r="AW94" t="inlineStr">
        <is>
          <t>991001510909702656</t>
        </is>
      </c>
      <c r="AX94" t="inlineStr">
        <is>
          <t>991001510909702656</t>
        </is>
      </c>
      <c r="AY94" t="inlineStr">
        <is>
          <t>2260022960002656</t>
        </is>
      </c>
      <c r="AZ94" t="inlineStr">
        <is>
          <t>BOOK</t>
        </is>
      </c>
      <c r="BB94" t="inlineStr">
        <is>
          <t>9780070404038</t>
        </is>
      </c>
      <c r="BC94" t="inlineStr">
        <is>
          <t>32285000512508</t>
        </is>
      </c>
      <c r="BD94" t="inlineStr">
        <is>
          <t>893621434</t>
        </is>
      </c>
    </row>
    <row r="95">
      <c r="A95" t="inlineStr">
        <is>
          <t>No</t>
        </is>
      </c>
      <c r="B95" t="inlineStr">
        <is>
          <t>NA2765 .N67 1971</t>
        </is>
      </c>
      <c r="C95" t="inlineStr">
        <is>
          <t>0                      NA 2765000N  67          1971</t>
        </is>
      </c>
      <c r="D95" t="inlineStr">
        <is>
          <t>Existence, space &amp; architecture.</t>
        </is>
      </c>
      <c r="F95" t="inlineStr">
        <is>
          <t>No</t>
        </is>
      </c>
      <c r="G95" t="inlineStr">
        <is>
          <t>1</t>
        </is>
      </c>
      <c r="H95" t="inlineStr">
        <is>
          <t>No</t>
        </is>
      </c>
      <c r="I95" t="inlineStr">
        <is>
          <t>No</t>
        </is>
      </c>
      <c r="J95" t="inlineStr">
        <is>
          <t>0</t>
        </is>
      </c>
      <c r="K95" t="inlineStr">
        <is>
          <t>Norberg-Schulz, Christian.</t>
        </is>
      </c>
      <c r="L95" t="inlineStr">
        <is>
          <t>New York, Praeger [1971]</t>
        </is>
      </c>
      <c r="M95" t="inlineStr">
        <is>
          <t>1971</t>
        </is>
      </c>
      <c r="O95" t="inlineStr">
        <is>
          <t>eng</t>
        </is>
      </c>
      <c r="P95" t="inlineStr">
        <is>
          <t>nyu</t>
        </is>
      </c>
      <c r="R95" t="inlineStr">
        <is>
          <t xml:space="preserve">NA </t>
        </is>
      </c>
      <c r="S95" t="n">
        <v>0</v>
      </c>
      <c r="T95" t="n">
        <v>0</v>
      </c>
      <c r="U95" t="inlineStr">
        <is>
          <t>2002-11-22</t>
        </is>
      </c>
      <c r="V95" t="inlineStr">
        <is>
          <t>2002-11-22</t>
        </is>
      </c>
      <c r="W95" t="inlineStr">
        <is>
          <t>1997-07-01</t>
        </is>
      </c>
      <c r="X95" t="inlineStr">
        <is>
          <t>1997-07-01</t>
        </is>
      </c>
      <c r="Y95" t="n">
        <v>544</v>
      </c>
      <c r="Z95" t="n">
        <v>481</v>
      </c>
      <c r="AA95" t="n">
        <v>498</v>
      </c>
      <c r="AB95" t="n">
        <v>5</v>
      </c>
      <c r="AC95" t="n">
        <v>5</v>
      </c>
      <c r="AD95" t="n">
        <v>19</v>
      </c>
      <c r="AE95" t="n">
        <v>19</v>
      </c>
      <c r="AF95" t="n">
        <v>8</v>
      </c>
      <c r="AG95" t="n">
        <v>8</v>
      </c>
      <c r="AH95" t="n">
        <v>3</v>
      </c>
      <c r="AI95" t="n">
        <v>3</v>
      </c>
      <c r="AJ95" t="n">
        <v>9</v>
      </c>
      <c r="AK95" t="n">
        <v>9</v>
      </c>
      <c r="AL95" t="n">
        <v>4</v>
      </c>
      <c r="AM95" t="n">
        <v>4</v>
      </c>
      <c r="AN95" t="n">
        <v>0</v>
      </c>
      <c r="AO95" t="n">
        <v>0</v>
      </c>
      <c r="AP95" t="inlineStr">
        <is>
          <t>No</t>
        </is>
      </c>
      <c r="AQ95" t="inlineStr">
        <is>
          <t>Yes</t>
        </is>
      </c>
      <c r="AR95">
        <f>HYPERLINK("http://catalog.hathitrust.org/Record/000564319","HathiTrust Record")</f>
        <v/>
      </c>
      <c r="AS95">
        <f>HYPERLINK("https://creighton-primo.hosted.exlibrisgroup.com/primo-explore/search?tab=default_tab&amp;search_scope=EVERYTHING&amp;vid=01CRU&amp;lang=en_US&amp;offset=0&amp;query=any,contains,991001370229702656","Catalog Record")</f>
        <v/>
      </c>
      <c r="AT95">
        <f>HYPERLINK("http://www.worldcat.org/oclc/223370","WorldCat Record")</f>
        <v/>
      </c>
      <c r="AU95" t="inlineStr">
        <is>
          <t>47635900:eng</t>
        </is>
      </c>
      <c r="AV95" t="inlineStr">
        <is>
          <t>223370</t>
        </is>
      </c>
      <c r="AW95" t="inlineStr">
        <is>
          <t>991001370229702656</t>
        </is>
      </c>
      <c r="AX95" t="inlineStr">
        <is>
          <t>991001370229702656</t>
        </is>
      </c>
      <c r="AY95" t="inlineStr">
        <is>
          <t>2264123910002656</t>
        </is>
      </c>
      <c r="AZ95" t="inlineStr">
        <is>
          <t>BOOK</t>
        </is>
      </c>
      <c r="BC95" t="inlineStr">
        <is>
          <t>32285002862216</t>
        </is>
      </c>
      <c r="BD95" t="inlineStr">
        <is>
          <t>893408064</t>
        </is>
      </c>
    </row>
    <row r="96">
      <c r="A96" t="inlineStr">
        <is>
          <t>No</t>
        </is>
      </c>
      <c r="B96" t="inlineStr">
        <is>
          <t>NA278.P6 M2 1943</t>
        </is>
      </c>
      <c r="C96" t="inlineStr">
        <is>
          <t>0                      NA 0278000P  6                  M  2           1943</t>
        </is>
      </c>
      <c r="D96" t="inlineStr">
        <is>
          <t>The political meeting places of the Greeks / by William A. McDonald.</t>
        </is>
      </c>
      <c r="F96" t="inlineStr">
        <is>
          <t>No</t>
        </is>
      </c>
      <c r="G96" t="inlineStr">
        <is>
          <t>1</t>
        </is>
      </c>
      <c r="H96" t="inlineStr">
        <is>
          <t>No</t>
        </is>
      </c>
      <c r="I96" t="inlineStr">
        <is>
          <t>No</t>
        </is>
      </c>
      <c r="J96" t="inlineStr">
        <is>
          <t>0</t>
        </is>
      </c>
      <c r="K96" t="inlineStr">
        <is>
          <t>McDonald, William A. (William Andrew), 1913-2000.</t>
        </is>
      </c>
      <c r="L96" t="inlineStr">
        <is>
          <t>Baltimore : The Johns Hopkins press, 1943.</t>
        </is>
      </c>
      <c r="M96" t="inlineStr">
        <is>
          <t>1943</t>
        </is>
      </c>
      <c r="O96" t="inlineStr">
        <is>
          <t>eng</t>
        </is>
      </c>
      <c r="P96" t="inlineStr">
        <is>
          <t>mdu</t>
        </is>
      </c>
      <c r="Q96" t="inlineStr">
        <is>
          <t>Johns Hopkins University studies in archaeology ; no. 34</t>
        </is>
      </c>
      <c r="R96" t="inlineStr">
        <is>
          <t xml:space="preserve">NA </t>
        </is>
      </c>
      <c r="S96" t="n">
        <v>1</v>
      </c>
      <c r="T96" t="n">
        <v>1</v>
      </c>
      <c r="U96" t="inlineStr">
        <is>
          <t>1995-04-13</t>
        </is>
      </c>
      <c r="V96" t="inlineStr">
        <is>
          <t>1995-04-13</t>
        </is>
      </c>
      <c r="W96" t="inlineStr">
        <is>
          <t>1993-02-09</t>
        </is>
      </c>
      <c r="X96" t="inlineStr">
        <is>
          <t>1993-02-09</t>
        </is>
      </c>
      <c r="Y96" t="n">
        <v>217</v>
      </c>
      <c r="Z96" t="n">
        <v>171</v>
      </c>
      <c r="AA96" t="n">
        <v>353</v>
      </c>
      <c r="AB96" t="n">
        <v>2</v>
      </c>
      <c r="AC96" t="n">
        <v>3</v>
      </c>
      <c r="AD96" t="n">
        <v>7</v>
      </c>
      <c r="AE96" t="n">
        <v>21</v>
      </c>
      <c r="AF96" t="n">
        <v>2</v>
      </c>
      <c r="AG96" t="n">
        <v>7</v>
      </c>
      <c r="AH96" t="n">
        <v>0</v>
      </c>
      <c r="AI96" t="n">
        <v>6</v>
      </c>
      <c r="AJ96" t="n">
        <v>4</v>
      </c>
      <c r="AK96" t="n">
        <v>10</v>
      </c>
      <c r="AL96" t="n">
        <v>1</v>
      </c>
      <c r="AM96" t="n">
        <v>2</v>
      </c>
      <c r="AN96" t="n">
        <v>0</v>
      </c>
      <c r="AO96" t="n">
        <v>0</v>
      </c>
      <c r="AP96" t="inlineStr">
        <is>
          <t>No</t>
        </is>
      </c>
      <c r="AQ96" t="inlineStr">
        <is>
          <t>Yes</t>
        </is>
      </c>
      <c r="AR96">
        <f>HYPERLINK("http://catalog.hathitrust.org/Record/002047643","HathiTrust Record")</f>
        <v/>
      </c>
      <c r="AS96">
        <f>HYPERLINK("https://creighton-primo.hosted.exlibrisgroup.com/primo-explore/search?tab=default_tab&amp;search_scope=EVERYTHING&amp;vid=01CRU&amp;lang=en_US&amp;offset=0&amp;query=any,contains,991003125589702656","Catalog Record")</f>
        <v/>
      </c>
      <c r="AT96">
        <f>HYPERLINK("http://www.worldcat.org/oclc/670105","WorldCat Record")</f>
        <v/>
      </c>
      <c r="AU96" t="inlineStr">
        <is>
          <t>422820733:eng</t>
        </is>
      </c>
      <c r="AV96" t="inlineStr">
        <is>
          <t>670105</t>
        </is>
      </c>
      <c r="AW96" t="inlineStr">
        <is>
          <t>991003125589702656</t>
        </is>
      </c>
      <c r="AX96" t="inlineStr">
        <is>
          <t>991003125589702656</t>
        </is>
      </c>
      <c r="AY96" t="inlineStr">
        <is>
          <t>2266464080002656</t>
        </is>
      </c>
      <c r="AZ96" t="inlineStr">
        <is>
          <t>BOOK</t>
        </is>
      </c>
      <c r="BC96" t="inlineStr">
        <is>
          <t>32285001508232</t>
        </is>
      </c>
      <c r="BD96" t="inlineStr">
        <is>
          <t>893252055</t>
        </is>
      </c>
    </row>
    <row r="97">
      <c r="A97" t="inlineStr">
        <is>
          <t>No</t>
        </is>
      </c>
      <c r="B97" t="inlineStr">
        <is>
          <t>NA279.C7 G7</t>
        </is>
      </c>
      <c r="C97" t="inlineStr">
        <is>
          <t>0                      NA 0279000C  7                  G  7</t>
        </is>
      </c>
      <c r="D97" t="inlineStr">
        <is>
          <t>The palaces of Crete.</t>
        </is>
      </c>
      <c r="F97" t="inlineStr">
        <is>
          <t>No</t>
        </is>
      </c>
      <c r="G97" t="inlineStr">
        <is>
          <t>1</t>
        </is>
      </c>
      <c r="H97" t="inlineStr">
        <is>
          <t>No</t>
        </is>
      </c>
      <c r="I97" t="inlineStr">
        <is>
          <t>No</t>
        </is>
      </c>
      <c r="J97" t="inlineStr">
        <is>
          <t>0</t>
        </is>
      </c>
      <c r="K97" t="inlineStr">
        <is>
          <t>Graham, J. Walter (James Walter), 1906-1991.</t>
        </is>
      </c>
      <c r="L97" t="inlineStr">
        <is>
          <t>Princeton, N.J., Princeton University Press, 1962.</t>
        </is>
      </c>
      <c r="M97" t="inlineStr">
        <is>
          <t>1962</t>
        </is>
      </c>
      <c r="O97" t="inlineStr">
        <is>
          <t>eng</t>
        </is>
      </c>
      <c r="P97" t="inlineStr">
        <is>
          <t>nju</t>
        </is>
      </c>
      <c r="R97" t="inlineStr">
        <is>
          <t xml:space="preserve">NA </t>
        </is>
      </c>
      <c r="S97" t="n">
        <v>4</v>
      </c>
      <c r="T97" t="n">
        <v>4</v>
      </c>
      <c r="U97" t="inlineStr">
        <is>
          <t>2003-11-28</t>
        </is>
      </c>
      <c r="V97" t="inlineStr">
        <is>
          <t>2003-11-28</t>
        </is>
      </c>
      <c r="W97" t="inlineStr">
        <is>
          <t>1992-06-10</t>
        </is>
      </c>
      <c r="X97" t="inlineStr">
        <is>
          <t>1992-06-10</t>
        </is>
      </c>
      <c r="Y97" t="n">
        <v>884</v>
      </c>
      <c r="Z97" t="n">
        <v>723</v>
      </c>
      <c r="AA97" t="n">
        <v>749</v>
      </c>
      <c r="AB97" t="n">
        <v>9</v>
      </c>
      <c r="AC97" t="n">
        <v>9</v>
      </c>
      <c r="AD97" t="n">
        <v>37</v>
      </c>
      <c r="AE97" t="n">
        <v>37</v>
      </c>
      <c r="AF97" t="n">
        <v>16</v>
      </c>
      <c r="AG97" t="n">
        <v>16</v>
      </c>
      <c r="AH97" t="n">
        <v>11</v>
      </c>
      <c r="AI97" t="n">
        <v>11</v>
      </c>
      <c r="AJ97" t="n">
        <v>14</v>
      </c>
      <c r="AK97" t="n">
        <v>14</v>
      </c>
      <c r="AL97" t="n">
        <v>7</v>
      </c>
      <c r="AM97" t="n">
        <v>7</v>
      </c>
      <c r="AN97" t="n">
        <v>0</v>
      </c>
      <c r="AO97" t="n">
        <v>0</v>
      </c>
      <c r="AP97" t="inlineStr">
        <is>
          <t>No</t>
        </is>
      </c>
      <c r="AQ97" t="inlineStr">
        <is>
          <t>No</t>
        </is>
      </c>
      <c r="AR97">
        <f>HYPERLINK("http://catalog.hathitrust.org/Record/000610532","HathiTrust Record")</f>
        <v/>
      </c>
      <c r="AS97">
        <f>HYPERLINK("https://creighton-primo.hosted.exlibrisgroup.com/primo-explore/search?tab=default_tab&amp;search_scope=EVERYTHING&amp;vid=01CRU&amp;lang=en_US&amp;offset=0&amp;query=any,contains,991002891919702656","Catalog Record")</f>
        <v/>
      </c>
      <c r="AT97">
        <f>HYPERLINK("http://www.worldcat.org/oclc/512110","WorldCat Record")</f>
        <v/>
      </c>
      <c r="AU97" t="inlineStr">
        <is>
          <t>1215439:eng</t>
        </is>
      </c>
      <c r="AV97" t="inlineStr">
        <is>
          <t>512110</t>
        </is>
      </c>
      <c r="AW97" t="inlineStr">
        <is>
          <t>991002891919702656</t>
        </is>
      </c>
      <c r="AX97" t="inlineStr">
        <is>
          <t>991002891919702656</t>
        </is>
      </c>
      <c r="AY97" t="inlineStr">
        <is>
          <t>2263409840002656</t>
        </is>
      </c>
      <c r="AZ97" t="inlineStr">
        <is>
          <t>BOOK</t>
        </is>
      </c>
      <c r="BC97" t="inlineStr">
        <is>
          <t>32285001098721</t>
        </is>
      </c>
      <c r="BD97" t="inlineStr">
        <is>
          <t>893610433</t>
        </is>
      </c>
    </row>
    <row r="98">
      <c r="A98" t="inlineStr">
        <is>
          <t>No</t>
        </is>
      </c>
      <c r="B98" t="inlineStr">
        <is>
          <t>NA2793 .D5 1986</t>
        </is>
      </c>
      <c r="C98" t="inlineStr">
        <is>
          <t>0                      NA 2793000D  5           1986</t>
        </is>
      </c>
      <c r="D98" t="inlineStr">
        <is>
          <t>Remaking America : new uses, old places / Barbaralee Diamonstein.</t>
        </is>
      </c>
      <c r="F98" t="inlineStr">
        <is>
          <t>No</t>
        </is>
      </c>
      <c r="G98" t="inlineStr">
        <is>
          <t>1</t>
        </is>
      </c>
      <c r="H98" t="inlineStr">
        <is>
          <t>No</t>
        </is>
      </c>
      <c r="I98" t="inlineStr">
        <is>
          <t>No</t>
        </is>
      </c>
      <c r="J98" t="inlineStr">
        <is>
          <t>0</t>
        </is>
      </c>
      <c r="K98" t="inlineStr">
        <is>
          <t>Diamonstein-Spielvogel, Barbaralee.</t>
        </is>
      </c>
      <c r="L98" t="inlineStr">
        <is>
          <t>New York : Crown, c1986.</t>
        </is>
      </c>
      <c r="M98" t="inlineStr">
        <is>
          <t>1986</t>
        </is>
      </c>
      <c r="N98" t="inlineStr">
        <is>
          <t>1st ed.</t>
        </is>
      </c>
      <c r="O98" t="inlineStr">
        <is>
          <t>eng</t>
        </is>
      </c>
      <c r="P98" t="inlineStr">
        <is>
          <t>nyu</t>
        </is>
      </c>
      <c r="R98" t="inlineStr">
        <is>
          <t xml:space="preserve">NA </t>
        </is>
      </c>
      <c r="S98" t="n">
        <v>1</v>
      </c>
      <c r="T98" t="n">
        <v>1</v>
      </c>
      <c r="U98" t="inlineStr">
        <is>
          <t>1998-04-22</t>
        </is>
      </c>
      <c r="V98" t="inlineStr">
        <is>
          <t>1998-04-22</t>
        </is>
      </c>
      <c r="W98" t="inlineStr">
        <is>
          <t>1993-05-12</t>
        </is>
      </c>
      <c r="X98" t="inlineStr">
        <is>
          <t>1993-05-12</t>
        </is>
      </c>
      <c r="Y98" t="n">
        <v>665</v>
      </c>
      <c r="Z98" t="n">
        <v>625</v>
      </c>
      <c r="AA98" t="n">
        <v>635</v>
      </c>
      <c r="AB98" t="n">
        <v>3</v>
      </c>
      <c r="AC98" t="n">
        <v>3</v>
      </c>
      <c r="AD98" t="n">
        <v>13</v>
      </c>
      <c r="AE98" t="n">
        <v>13</v>
      </c>
      <c r="AF98" t="n">
        <v>5</v>
      </c>
      <c r="AG98" t="n">
        <v>5</v>
      </c>
      <c r="AH98" t="n">
        <v>3</v>
      </c>
      <c r="AI98" t="n">
        <v>3</v>
      </c>
      <c r="AJ98" t="n">
        <v>5</v>
      </c>
      <c r="AK98" t="n">
        <v>5</v>
      </c>
      <c r="AL98" t="n">
        <v>1</v>
      </c>
      <c r="AM98" t="n">
        <v>1</v>
      </c>
      <c r="AN98" t="n">
        <v>0</v>
      </c>
      <c r="AO98" t="n">
        <v>0</v>
      </c>
      <c r="AP98" t="inlineStr">
        <is>
          <t>No</t>
        </is>
      </c>
      <c r="AQ98" t="inlineStr">
        <is>
          <t>Yes</t>
        </is>
      </c>
      <c r="AR98">
        <f>HYPERLINK("http://catalog.hathitrust.org/Record/000807692","HathiTrust Record")</f>
        <v/>
      </c>
      <c r="AS98">
        <f>HYPERLINK("https://creighton-primo.hosted.exlibrisgroup.com/primo-explore/search?tab=default_tab&amp;search_scope=EVERYTHING&amp;vid=01CRU&amp;lang=en_US&amp;offset=0&amp;query=any,contains,991000798929702656","Catalog Record")</f>
        <v/>
      </c>
      <c r="AT98">
        <f>HYPERLINK("http://www.worldcat.org/oclc/13215677","WorldCat Record")</f>
        <v/>
      </c>
      <c r="AU98" t="inlineStr">
        <is>
          <t>439638878:eng</t>
        </is>
      </c>
      <c r="AV98" t="inlineStr">
        <is>
          <t>13215677</t>
        </is>
      </c>
      <c r="AW98" t="inlineStr">
        <is>
          <t>991000798929702656</t>
        </is>
      </c>
      <c r="AX98" t="inlineStr">
        <is>
          <t>991000798929702656</t>
        </is>
      </c>
      <c r="AY98" t="inlineStr">
        <is>
          <t>2263331790002656</t>
        </is>
      </c>
      <c r="AZ98" t="inlineStr">
        <is>
          <t>BOOK</t>
        </is>
      </c>
      <c r="BB98" t="inlineStr">
        <is>
          <t>9780517562871</t>
        </is>
      </c>
      <c r="BC98" t="inlineStr">
        <is>
          <t>32285001653749</t>
        </is>
      </c>
      <c r="BD98" t="inlineStr">
        <is>
          <t>893608294</t>
        </is>
      </c>
    </row>
    <row r="99">
      <c r="A99" t="inlineStr">
        <is>
          <t>No</t>
        </is>
      </c>
      <c r="B99" t="inlineStr">
        <is>
          <t>NA280 .R63 1957b</t>
        </is>
      </c>
      <c r="C99" t="inlineStr">
        <is>
          <t>0                      NA 0280000R  63          1957b</t>
        </is>
      </c>
      <c r="D99" t="inlineStr">
        <is>
          <t>The Acropolis. Photographed by Walter Hege.</t>
        </is>
      </c>
      <c r="F99" t="inlineStr">
        <is>
          <t>No</t>
        </is>
      </c>
      <c r="G99" t="inlineStr">
        <is>
          <t>1</t>
        </is>
      </c>
      <c r="H99" t="inlineStr">
        <is>
          <t>No</t>
        </is>
      </c>
      <c r="I99" t="inlineStr">
        <is>
          <t>No</t>
        </is>
      </c>
      <c r="J99" t="inlineStr">
        <is>
          <t>0</t>
        </is>
      </c>
      <c r="K99" t="inlineStr">
        <is>
          <t>Rodenwaldt, Gerhart, 1886-1945.</t>
        </is>
      </c>
      <c r="L99" t="inlineStr">
        <is>
          <t>Oxford, Blackwell, 1957.</t>
        </is>
      </c>
      <c r="M99" t="inlineStr">
        <is>
          <t>1957</t>
        </is>
      </c>
      <c r="N99" t="inlineStr">
        <is>
          <t>[2d ed.]</t>
        </is>
      </c>
      <c r="O99" t="inlineStr">
        <is>
          <t>eng</t>
        </is>
      </c>
      <c r="P99" t="inlineStr">
        <is>
          <t xml:space="preserve">xx </t>
        </is>
      </c>
      <c r="R99" t="inlineStr">
        <is>
          <t xml:space="preserve">NA </t>
        </is>
      </c>
      <c r="S99" t="n">
        <v>1</v>
      </c>
      <c r="T99" t="n">
        <v>1</v>
      </c>
      <c r="U99" t="inlineStr">
        <is>
          <t>2001-09-17</t>
        </is>
      </c>
      <c r="V99" t="inlineStr">
        <is>
          <t>2001-09-17</t>
        </is>
      </c>
      <c r="W99" t="inlineStr">
        <is>
          <t>1997-07-01</t>
        </is>
      </c>
      <c r="X99" t="inlineStr">
        <is>
          <t>1997-07-01</t>
        </is>
      </c>
      <c r="Y99" t="n">
        <v>288</v>
      </c>
      <c r="Z99" t="n">
        <v>249</v>
      </c>
      <c r="AA99" t="n">
        <v>634</v>
      </c>
      <c r="AB99" t="n">
        <v>5</v>
      </c>
      <c r="AC99" t="n">
        <v>7</v>
      </c>
      <c r="AD99" t="n">
        <v>14</v>
      </c>
      <c r="AE99" t="n">
        <v>29</v>
      </c>
      <c r="AF99" t="n">
        <v>3</v>
      </c>
      <c r="AG99" t="n">
        <v>8</v>
      </c>
      <c r="AH99" t="n">
        <v>1</v>
      </c>
      <c r="AI99" t="n">
        <v>6</v>
      </c>
      <c r="AJ99" t="n">
        <v>8</v>
      </c>
      <c r="AK99" t="n">
        <v>15</v>
      </c>
      <c r="AL99" t="n">
        <v>4</v>
      </c>
      <c r="AM99" t="n">
        <v>5</v>
      </c>
      <c r="AN99" t="n">
        <v>0</v>
      </c>
      <c r="AO99" t="n">
        <v>0</v>
      </c>
      <c r="AP99" t="inlineStr">
        <is>
          <t>No</t>
        </is>
      </c>
      <c r="AQ99" t="inlineStr">
        <is>
          <t>No</t>
        </is>
      </c>
      <c r="AS99">
        <f>HYPERLINK("https://creighton-primo.hosted.exlibrisgroup.com/primo-explore/search?tab=default_tab&amp;search_scope=EVERYTHING&amp;vid=01CRU&amp;lang=en_US&amp;offset=0&amp;query=any,contains,991002015149702656","Catalog Record")</f>
        <v/>
      </c>
      <c r="AT99">
        <f>HYPERLINK("http://www.worldcat.org/oclc/259100","WorldCat Record")</f>
        <v/>
      </c>
      <c r="AU99" t="inlineStr">
        <is>
          <t>10359693711:eng</t>
        </is>
      </c>
      <c r="AV99" t="inlineStr">
        <is>
          <t>259100</t>
        </is>
      </c>
      <c r="AW99" t="inlineStr">
        <is>
          <t>991002015149702656</t>
        </is>
      </c>
      <c r="AX99" t="inlineStr">
        <is>
          <t>991002015149702656</t>
        </is>
      </c>
      <c r="AY99" t="inlineStr">
        <is>
          <t>2271368180002656</t>
        </is>
      </c>
      <c r="AZ99" t="inlineStr">
        <is>
          <t>BOOK</t>
        </is>
      </c>
      <c r="BC99" t="inlineStr">
        <is>
          <t>32285002861135</t>
        </is>
      </c>
      <c r="BD99" t="inlineStr">
        <is>
          <t>893615590</t>
        </is>
      </c>
    </row>
    <row r="100">
      <c r="A100" t="inlineStr">
        <is>
          <t>No</t>
        </is>
      </c>
      <c r="B100" t="inlineStr">
        <is>
          <t>NA2800 .A68</t>
        </is>
      </c>
      <c r="C100" t="inlineStr">
        <is>
          <t>0                      NA 2800000A  68</t>
        </is>
      </c>
      <c r="D100" t="inlineStr">
        <is>
          <t>Architectural acoustics / edited by Thomas D. Northwood.</t>
        </is>
      </c>
      <c r="F100" t="inlineStr">
        <is>
          <t>No</t>
        </is>
      </c>
      <c r="G100" t="inlineStr">
        <is>
          <t>1</t>
        </is>
      </c>
      <c r="H100" t="inlineStr">
        <is>
          <t>No</t>
        </is>
      </c>
      <c r="I100" t="inlineStr">
        <is>
          <t>No</t>
        </is>
      </c>
      <c r="J100" t="inlineStr">
        <is>
          <t>0</t>
        </is>
      </c>
      <c r="L100" t="inlineStr">
        <is>
          <t>Stroudsburg, Pa. : Dowden, Hutchinson &amp; Ross ; New York : exclusive distributor, Halsted Press, c1977.</t>
        </is>
      </c>
      <c r="M100" t="inlineStr">
        <is>
          <t>1977</t>
        </is>
      </c>
      <c r="O100" t="inlineStr">
        <is>
          <t>eng</t>
        </is>
      </c>
      <c r="P100" t="inlineStr">
        <is>
          <t>pau</t>
        </is>
      </c>
      <c r="Q100" t="inlineStr">
        <is>
          <t>Benchmark papers in acoustics ; 10</t>
        </is>
      </c>
      <c r="R100" t="inlineStr">
        <is>
          <t xml:space="preserve">NA </t>
        </is>
      </c>
      <c r="S100" t="n">
        <v>4</v>
      </c>
      <c r="T100" t="n">
        <v>4</v>
      </c>
      <c r="U100" t="inlineStr">
        <is>
          <t>2000-04-20</t>
        </is>
      </c>
      <c r="V100" t="inlineStr">
        <is>
          <t>2000-04-20</t>
        </is>
      </c>
      <c r="W100" t="inlineStr">
        <is>
          <t>1997-07-01</t>
        </is>
      </c>
      <c r="X100" t="inlineStr">
        <is>
          <t>1997-07-01</t>
        </is>
      </c>
      <c r="Y100" t="n">
        <v>366</v>
      </c>
      <c r="Z100" t="n">
        <v>285</v>
      </c>
      <c r="AA100" t="n">
        <v>292</v>
      </c>
      <c r="AB100" t="n">
        <v>2</v>
      </c>
      <c r="AC100" t="n">
        <v>2</v>
      </c>
      <c r="AD100" t="n">
        <v>10</v>
      </c>
      <c r="AE100" t="n">
        <v>10</v>
      </c>
      <c r="AF100" t="n">
        <v>5</v>
      </c>
      <c r="AG100" t="n">
        <v>5</v>
      </c>
      <c r="AH100" t="n">
        <v>1</v>
      </c>
      <c r="AI100" t="n">
        <v>1</v>
      </c>
      <c r="AJ100" t="n">
        <v>4</v>
      </c>
      <c r="AK100" t="n">
        <v>4</v>
      </c>
      <c r="AL100" t="n">
        <v>1</v>
      </c>
      <c r="AM100" t="n">
        <v>1</v>
      </c>
      <c r="AN100" t="n">
        <v>0</v>
      </c>
      <c r="AO100" t="n">
        <v>0</v>
      </c>
      <c r="AP100" t="inlineStr">
        <is>
          <t>No</t>
        </is>
      </c>
      <c r="AQ100" t="inlineStr">
        <is>
          <t>Yes</t>
        </is>
      </c>
      <c r="AR100">
        <f>HYPERLINK("http://catalog.hathitrust.org/Record/005778110","HathiTrust Record")</f>
        <v/>
      </c>
      <c r="AS100">
        <f>HYPERLINK("https://creighton-primo.hosted.exlibrisgroup.com/primo-explore/search?tab=default_tab&amp;search_scope=EVERYTHING&amp;vid=01CRU&amp;lang=en_US&amp;offset=0&amp;query=any,contains,991004307979702656","Catalog Record")</f>
        <v/>
      </c>
      <c r="AT100">
        <f>HYPERLINK("http://www.worldcat.org/oclc/2984898","WorldCat Record")</f>
        <v/>
      </c>
      <c r="AU100" t="inlineStr">
        <is>
          <t>54166234:eng</t>
        </is>
      </c>
      <c r="AV100" t="inlineStr">
        <is>
          <t>2984898</t>
        </is>
      </c>
      <c r="AW100" t="inlineStr">
        <is>
          <t>991004307979702656</t>
        </is>
      </c>
      <c r="AX100" t="inlineStr">
        <is>
          <t>991004307979702656</t>
        </is>
      </c>
      <c r="AY100" t="inlineStr">
        <is>
          <t>2258367290002656</t>
        </is>
      </c>
      <c r="AZ100" t="inlineStr">
        <is>
          <t>BOOK</t>
        </is>
      </c>
      <c r="BB100" t="inlineStr">
        <is>
          <t>9780879332570</t>
        </is>
      </c>
      <c r="BC100" t="inlineStr">
        <is>
          <t>32285002862224</t>
        </is>
      </c>
      <c r="BD100" t="inlineStr">
        <is>
          <t>893806901</t>
        </is>
      </c>
    </row>
    <row r="101">
      <c r="A101" t="inlineStr">
        <is>
          <t>No</t>
        </is>
      </c>
      <c r="B101" t="inlineStr">
        <is>
          <t>NA2800 .B8</t>
        </is>
      </c>
      <c r="C101" t="inlineStr">
        <is>
          <t>0                      NA 2800000B  8</t>
        </is>
      </c>
      <c r="D101" t="inlineStr">
        <is>
          <t>Acoustics for the architect [by] Harold Burris-Meyer &amp; Lewis S. Goodfriend.</t>
        </is>
      </c>
      <c r="F101" t="inlineStr">
        <is>
          <t>No</t>
        </is>
      </c>
      <c r="G101" t="inlineStr">
        <is>
          <t>1</t>
        </is>
      </c>
      <c r="H101" t="inlineStr">
        <is>
          <t>No</t>
        </is>
      </c>
      <c r="I101" t="inlineStr">
        <is>
          <t>No</t>
        </is>
      </c>
      <c r="J101" t="inlineStr">
        <is>
          <t>0</t>
        </is>
      </c>
      <c r="K101" t="inlineStr">
        <is>
          <t>Burris-Meyer, Harold, 1902-1984.</t>
        </is>
      </c>
      <c r="L101" t="inlineStr">
        <is>
          <t>New York, Reinhold Pub. Corp. [1957]</t>
        </is>
      </c>
      <c r="M101" t="inlineStr">
        <is>
          <t>1957</t>
        </is>
      </c>
      <c r="O101" t="inlineStr">
        <is>
          <t>eng</t>
        </is>
      </c>
      <c r="P101" t="inlineStr">
        <is>
          <t>nyu</t>
        </is>
      </c>
      <c r="R101" t="inlineStr">
        <is>
          <t xml:space="preserve">NA </t>
        </is>
      </c>
      <c r="S101" t="n">
        <v>3</v>
      </c>
      <c r="T101" t="n">
        <v>3</v>
      </c>
      <c r="U101" t="inlineStr">
        <is>
          <t>2000-04-19</t>
        </is>
      </c>
      <c r="V101" t="inlineStr">
        <is>
          <t>2000-04-19</t>
        </is>
      </c>
      <c r="W101" t="inlineStr">
        <is>
          <t>1997-07-01</t>
        </is>
      </c>
      <c r="X101" t="inlineStr">
        <is>
          <t>1997-07-01</t>
        </is>
      </c>
      <c r="Y101" t="n">
        <v>252</v>
      </c>
      <c r="Z101" t="n">
        <v>196</v>
      </c>
      <c r="AA101" t="n">
        <v>202</v>
      </c>
      <c r="AB101" t="n">
        <v>2</v>
      </c>
      <c r="AC101" t="n">
        <v>2</v>
      </c>
      <c r="AD101" t="n">
        <v>3</v>
      </c>
      <c r="AE101" t="n">
        <v>3</v>
      </c>
      <c r="AF101" t="n">
        <v>1</v>
      </c>
      <c r="AG101" t="n">
        <v>1</v>
      </c>
      <c r="AH101" t="n">
        <v>0</v>
      </c>
      <c r="AI101" t="n">
        <v>0</v>
      </c>
      <c r="AJ101" t="n">
        <v>1</v>
      </c>
      <c r="AK101" t="n">
        <v>1</v>
      </c>
      <c r="AL101" t="n">
        <v>1</v>
      </c>
      <c r="AM101" t="n">
        <v>1</v>
      </c>
      <c r="AN101" t="n">
        <v>0</v>
      </c>
      <c r="AO101" t="n">
        <v>0</v>
      </c>
      <c r="AP101" t="inlineStr">
        <is>
          <t>No</t>
        </is>
      </c>
      <c r="AQ101" t="inlineStr">
        <is>
          <t>Yes</t>
        </is>
      </c>
      <c r="AR101">
        <f>HYPERLINK("http://catalog.hathitrust.org/Record/101739362","HathiTrust Record")</f>
        <v/>
      </c>
      <c r="AS101">
        <f>HYPERLINK("https://creighton-primo.hosted.exlibrisgroup.com/primo-explore/search?tab=default_tab&amp;search_scope=EVERYTHING&amp;vid=01CRU&amp;lang=en_US&amp;offset=0&amp;query=any,contains,991003773829702656","Catalog Record")</f>
        <v/>
      </c>
      <c r="AT101">
        <f>HYPERLINK("http://www.worldcat.org/oclc/1477063","WorldCat Record")</f>
        <v/>
      </c>
      <c r="AU101" t="inlineStr">
        <is>
          <t>2367728:eng</t>
        </is>
      </c>
      <c r="AV101" t="inlineStr">
        <is>
          <t>1477063</t>
        </is>
      </c>
      <c r="AW101" t="inlineStr">
        <is>
          <t>991003773829702656</t>
        </is>
      </c>
      <c r="AX101" t="inlineStr">
        <is>
          <t>991003773829702656</t>
        </is>
      </c>
      <c r="AY101" t="inlineStr">
        <is>
          <t>2258096340002656</t>
        </is>
      </c>
      <c r="AZ101" t="inlineStr">
        <is>
          <t>BOOK</t>
        </is>
      </c>
      <c r="BC101" t="inlineStr">
        <is>
          <t>32285002862240</t>
        </is>
      </c>
      <c r="BD101" t="inlineStr">
        <is>
          <t>893894112</t>
        </is>
      </c>
    </row>
    <row r="102">
      <c r="A102" t="inlineStr">
        <is>
          <t>No</t>
        </is>
      </c>
      <c r="B102" t="inlineStr">
        <is>
          <t>NA2800 .K58</t>
        </is>
      </c>
      <c r="C102" t="inlineStr">
        <is>
          <t>0                      NA 2800000K  58</t>
        </is>
      </c>
      <c r="D102" t="inlineStr">
        <is>
          <t>Acoustical designing in architecture [by] Vern O. Knudsen [and] Cyril M. Harris.</t>
        </is>
      </c>
      <c r="F102" t="inlineStr">
        <is>
          <t>No</t>
        </is>
      </c>
      <c r="G102" t="inlineStr">
        <is>
          <t>1</t>
        </is>
      </c>
      <c r="H102" t="inlineStr">
        <is>
          <t>No</t>
        </is>
      </c>
      <c r="I102" t="inlineStr">
        <is>
          <t>No</t>
        </is>
      </c>
      <c r="J102" t="inlineStr">
        <is>
          <t>0</t>
        </is>
      </c>
      <c r="K102" t="inlineStr">
        <is>
          <t>Knudsen, Vern Oliver, 1893-1974.</t>
        </is>
      </c>
      <c r="L102" t="inlineStr">
        <is>
          <t>New York, Wiley, 1950.</t>
        </is>
      </c>
      <c r="M102" t="inlineStr">
        <is>
          <t>1950</t>
        </is>
      </c>
      <c r="O102" t="inlineStr">
        <is>
          <t>eng</t>
        </is>
      </c>
      <c r="P102" t="inlineStr">
        <is>
          <t>nyu</t>
        </is>
      </c>
      <c r="R102" t="inlineStr">
        <is>
          <t xml:space="preserve">NA </t>
        </is>
      </c>
      <c r="S102" t="n">
        <v>5</v>
      </c>
      <c r="T102" t="n">
        <v>5</v>
      </c>
      <c r="U102" t="inlineStr">
        <is>
          <t>2000-04-19</t>
        </is>
      </c>
      <c r="V102" t="inlineStr">
        <is>
          <t>2000-04-19</t>
        </is>
      </c>
      <c r="W102" t="inlineStr">
        <is>
          <t>1997-07-01</t>
        </is>
      </c>
      <c r="X102" t="inlineStr">
        <is>
          <t>1997-07-01</t>
        </is>
      </c>
      <c r="Y102" t="n">
        <v>461</v>
      </c>
      <c r="Z102" t="n">
        <v>378</v>
      </c>
      <c r="AA102" t="n">
        <v>471</v>
      </c>
      <c r="AB102" t="n">
        <v>6</v>
      </c>
      <c r="AC102" t="n">
        <v>7</v>
      </c>
      <c r="AD102" t="n">
        <v>17</v>
      </c>
      <c r="AE102" t="n">
        <v>20</v>
      </c>
      <c r="AF102" t="n">
        <v>6</v>
      </c>
      <c r="AG102" t="n">
        <v>8</v>
      </c>
      <c r="AH102" t="n">
        <v>4</v>
      </c>
      <c r="AI102" t="n">
        <v>4</v>
      </c>
      <c r="AJ102" t="n">
        <v>4</v>
      </c>
      <c r="AK102" t="n">
        <v>5</v>
      </c>
      <c r="AL102" t="n">
        <v>5</v>
      </c>
      <c r="AM102" t="n">
        <v>5</v>
      </c>
      <c r="AN102" t="n">
        <v>0</v>
      </c>
      <c r="AO102" t="n">
        <v>0</v>
      </c>
      <c r="AP102" t="inlineStr">
        <is>
          <t>No</t>
        </is>
      </c>
      <c r="AQ102" t="inlineStr">
        <is>
          <t>Yes</t>
        </is>
      </c>
      <c r="AR102">
        <f>HYPERLINK("http://catalog.hathitrust.org/Record/000564704","HathiTrust Record")</f>
        <v/>
      </c>
      <c r="AS102">
        <f>HYPERLINK("https://creighton-primo.hosted.exlibrisgroup.com/primo-explore/search?tab=default_tab&amp;search_scope=EVERYTHING&amp;vid=01CRU&amp;lang=en_US&amp;offset=0&amp;query=any,contains,991004477689702656","Catalog Record")</f>
        <v/>
      </c>
      <c r="AT102">
        <f>HYPERLINK("http://www.worldcat.org/oclc/3611972","WorldCat Record")</f>
        <v/>
      </c>
      <c r="AU102" t="inlineStr">
        <is>
          <t>11234793:eng</t>
        </is>
      </c>
      <c r="AV102" t="inlineStr">
        <is>
          <t>3611972</t>
        </is>
      </c>
      <c r="AW102" t="inlineStr">
        <is>
          <t>991004477689702656</t>
        </is>
      </c>
      <c r="AX102" t="inlineStr">
        <is>
          <t>991004477689702656</t>
        </is>
      </c>
      <c r="AY102" t="inlineStr">
        <is>
          <t>2264765430002656</t>
        </is>
      </c>
      <c r="AZ102" t="inlineStr">
        <is>
          <t>BOOK</t>
        </is>
      </c>
      <c r="BC102" t="inlineStr">
        <is>
          <t>32285002862257</t>
        </is>
      </c>
      <c r="BD102" t="inlineStr">
        <is>
          <t>893253735</t>
        </is>
      </c>
    </row>
    <row r="103">
      <c r="A103" t="inlineStr">
        <is>
          <t>No</t>
        </is>
      </c>
      <c r="B103" t="inlineStr">
        <is>
          <t>NA2800 .K6</t>
        </is>
      </c>
      <c r="C103" t="inlineStr">
        <is>
          <t>0                      NA 2800000K  6</t>
        </is>
      </c>
      <c r="D103" t="inlineStr">
        <is>
          <t>Architectural acoustics, by Vern O. Knudsen.</t>
        </is>
      </c>
      <c r="F103" t="inlineStr">
        <is>
          <t>No</t>
        </is>
      </c>
      <c r="G103" t="inlineStr">
        <is>
          <t>1</t>
        </is>
      </c>
      <c r="H103" t="inlineStr">
        <is>
          <t>No</t>
        </is>
      </c>
      <c r="I103" t="inlineStr">
        <is>
          <t>No</t>
        </is>
      </c>
      <c r="J103" t="inlineStr">
        <is>
          <t>0</t>
        </is>
      </c>
      <c r="K103" t="inlineStr">
        <is>
          <t>Knudsen, Vern Oliver, 1893-1974.</t>
        </is>
      </c>
      <c r="L103" t="inlineStr">
        <is>
          <t>New York, J. Wiley &amp; sons, inc.; London, Chapman &amp; Hall, limited, c1932.</t>
        </is>
      </c>
      <c r="M103" t="inlineStr">
        <is>
          <t>1932</t>
        </is>
      </c>
      <c r="O103" t="inlineStr">
        <is>
          <t>eng</t>
        </is>
      </c>
      <c r="P103" t="inlineStr">
        <is>
          <t>nyu</t>
        </is>
      </c>
      <c r="R103" t="inlineStr">
        <is>
          <t xml:space="preserve">NA </t>
        </is>
      </c>
      <c r="S103" t="n">
        <v>3</v>
      </c>
      <c r="T103" t="n">
        <v>3</v>
      </c>
      <c r="U103" t="inlineStr">
        <is>
          <t>2000-04-19</t>
        </is>
      </c>
      <c r="V103" t="inlineStr">
        <is>
          <t>2000-04-19</t>
        </is>
      </c>
      <c r="W103" t="inlineStr">
        <is>
          <t>1997-07-01</t>
        </is>
      </c>
      <c r="X103" t="inlineStr">
        <is>
          <t>1997-07-01</t>
        </is>
      </c>
      <c r="Y103" t="n">
        <v>273</v>
      </c>
      <c r="Z103" t="n">
        <v>229</v>
      </c>
      <c r="AA103" t="n">
        <v>239</v>
      </c>
      <c r="AB103" t="n">
        <v>2</v>
      </c>
      <c r="AC103" t="n">
        <v>2</v>
      </c>
      <c r="AD103" t="n">
        <v>6</v>
      </c>
      <c r="AE103" t="n">
        <v>6</v>
      </c>
      <c r="AF103" t="n">
        <v>2</v>
      </c>
      <c r="AG103" t="n">
        <v>2</v>
      </c>
      <c r="AH103" t="n">
        <v>2</v>
      </c>
      <c r="AI103" t="n">
        <v>2</v>
      </c>
      <c r="AJ103" t="n">
        <v>2</v>
      </c>
      <c r="AK103" t="n">
        <v>2</v>
      </c>
      <c r="AL103" t="n">
        <v>1</v>
      </c>
      <c r="AM103" t="n">
        <v>1</v>
      </c>
      <c r="AN103" t="n">
        <v>0</v>
      </c>
      <c r="AO103" t="n">
        <v>0</v>
      </c>
      <c r="AP103" t="inlineStr">
        <is>
          <t>No</t>
        </is>
      </c>
      <c r="AQ103" t="inlineStr">
        <is>
          <t>Yes</t>
        </is>
      </c>
      <c r="AR103">
        <f>HYPERLINK("http://catalog.hathitrust.org/Record/000564705","HathiTrust Record")</f>
        <v/>
      </c>
      <c r="AS103">
        <f>HYPERLINK("https://creighton-primo.hosted.exlibrisgroup.com/primo-explore/search?tab=default_tab&amp;search_scope=EVERYTHING&amp;vid=01CRU&amp;lang=en_US&amp;offset=0&amp;query=any,contains,991003543719702656","Catalog Record")</f>
        <v/>
      </c>
      <c r="AT103">
        <f>HYPERLINK("http://www.worldcat.org/oclc/1109790","WorldCat Record")</f>
        <v/>
      </c>
      <c r="AU103" t="inlineStr">
        <is>
          <t>143779392:eng</t>
        </is>
      </c>
      <c r="AV103" t="inlineStr">
        <is>
          <t>1109790</t>
        </is>
      </c>
      <c r="AW103" t="inlineStr">
        <is>
          <t>991003543719702656</t>
        </is>
      </c>
      <c r="AX103" t="inlineStr">
        <is>
          <t>991003543719702656</t>
        </is>
      </c>
      <c r="AY103" t="inlineStr">
        <is>
          <t>2255293100002656</t>
        </is>
      </c>
      <c r="AZ103" t="inlineStr">
        <is>
          <t>BOOK</t>
        </is>
      </c>
      <c r="BC103" t="inlineStr">
        <is>
          <t>32285002862265</t>
        </is>
      </c>
      <c r="BD103" t="inlineStr">
        <is>
          <t>893422680</t>
        </is>
      </c>
    </row>
    <row r="104">
      <c r="A104" t="inlineStr">
        <is>
          <t>No</t>
        </is>
      </c>
      <c r="B104" t="inlineStr">
        <is>
          <t>NA281 .P28 1993</t>
        </is>
      </c>
      <c r="C104" t="inlineStr">
        <is>
          <t>0                      NA 0281000P  28          1993</t>
        </is>
      </c>
      <c r="D104" t="inlineStr">
        <is>
          <t>The pediments of the Parthenon / by Olga Palagia.</t>
        </is>
      </c>
      <c r="F104" t="inlineStr">
        <is>
          <t>No</t>
        </is>
      </c>
      <c r="G104" t="inlineStr">
        <is>
          <t>1</t>
        </is>
      </c>
      <c r="H104" t="inlineStr">
        <is>
          <t>No</t>
        </is>
      </c>
      <c r="I104" t="inlineStr">
        <is>
          <t>No</t>
        </is>
      </c>
      <c r="J104" t="inlineStr">
        <is>
          <t>0</t>
        </is>
      </c>
      <c r="K104" t="inlineStr">
        <is>
          <t>Palagia, Olga.</t>
        </is>
      </c>
      <c r="L104" t="inlineStr">
        <is>
          <t>Leiden ; New York : E.J. Brill, 1993.</t>
        </is>
      </c>
      <c r="M104" t="inlineStr">
        <is>
          <t>1993</t>
        </is>
      </c>
      <c r="O104" t="inlineStr">
        <is>
          <t>eng</t>
        </is>
      </c>
      <c r="P104" t="inlineStr">
        <is>
          <t xml:space="preserve">ne </t>
        </is>
      </c>
      <c r="Q104" t="inlineStr">
        <is>
          <t>Monumenta Graeca et Romana, 0169-8850 ; v. 7</t>
        </is>
      </c>
      <c r="R104" t="inlineStr">
        <is>
          <t xml:space="preserve">NA </t>
        </is>
      </c>
      <c r="S104" t="n">
        <v>4</v>
      </c>
      <c r="T104" t="n">
        <v>4</v>
      </c>
      <c r="U104" t="inlineStr">
        <is>
          <t>2009-03-15</t>
        </is>
      </c>
      <c r="V104" t="inlineStr">
        <is>
          <t>2009-03-15</t>
        </is>
      </c>
      <c r="W104" t="inlineStr">
        <is>
          <t>1994-03-18</t>
        </is>
      </c>
      <c r="X104" t="inlineStr">
        <is>
          <t>1994-03-18</t>
        </is>
      </c>
      <c r="Y104" t="n">
        <v>262</v>
      </c>
      <c r="Z104" t="n">
        <v>173</v>
      </c>
      <c r="AA104" t="n">
        <v>213</v>
      </c>
      <c r="AB104" t="n">
        <v>3</v>
      </c>
      <c r="AC104" t="n">
        <v>3</v>
      </c>
      <c r="AD104" t="n">
        <v>9</v>
      </c>
      <c r="AE104" t="n">
        <v>11</v>
      </c>
      <c r="AF104" t="n">
        <v>2</v>
      </c>
      <c r="AG104" t="n">
        <v>4</v>
      </c>
      <c r="AH104" t="n">
        <v>2</v>
      </c>
      <c r="AI104" t="n">
        <v>2</v>
      </c>
      <c r="AJ104" t="n">
        <v>5</v>
      </c>
      <c r="AK104" t="n">
        <v>6</v>
      </c>
      <c r="AL104" t="n">
        <v>2</v>
      </c>
      <c r="AM104" t="n">
        <v>2</v>
      </c>
      <c r="AN104" t="n">
        <v>0</v>
      </c>
      <c r="AO104" t="n">
        <v>0</v>
      </c>
      <c r="AP104" t="inlineStr">
        <is>
          <t>No</t>
        </is>
      </c>
      <c r="AQ104" t="inlineStr">
        <is>
          <t>Yes</t>
        </is>
      </c>
      <c r="AR104">
        <f>HYPERLINK("http://catalog.hathitrust.org/Record/002627794","HathiTrust Record")</f>
        <v/>
      </c>
      <c r="AS104">
        <f>HYPERLINK("https://creighton-primo.hosted.exlibrisgroup.com/primo-explore/search?tab=default_tab&amp;search_scope=EVERYTHING&amp;vid=01CRU&amp;lang=en_US&amp;offset=0&amp;query=any,contains,991002059839702656","Catalog Record")</f>
        <v/>
      </c>
      <c r="AT104">
        <f>HYPERLINK("http://www.worldcat.org/oclc/26361711","WorldCat Record")</f>
        <v/>
      </c>
      <c r="AU104" t="inlineStr">
        <is>
          <t>28714009:eng</t>
        </is>
      </c>
      <c r="AV104" t="inlineStr">
        <is>
          <t>26361711</t>
        </is>
      </c>
      <c r="AW104" t="inlineStr">
        <is>
          <t>991002059839702656</t>
        </is>
      </c>
      <c r="AX104" t="inlineStr">
        <is>
          <t>991002059839702656</t>
        </is>
      </c>
      <c r="AY104" t="inlineStr">
        <is>
          <t>2261932210002656</t>
        </is>
      </c>
      <c r="AZ104" t="inlineStr">
        <is>
          <t>BOOK</t>
        </is>
      </c>
      <c r="BB104" t="inlineStr">
        <is>
          <t>9789004096837</t>
        </is>
      </c>
      <c r="BC104" t="inlineStr">
        <is>
          <t>32285001856706</t>
        </is>
      </c>
      <c r="BD104" t="inlineStr">
        <is>
          <t>893334894</t>
        </is>
      </c>
    </row>
    <row r="105">
      <c r="A105" t="inlineStr">
        <is>
          <t>No</t>
        </is>
      </c>
      <c r="B105" t="inlineStr">
        <is>
          <t>NA300 .B63 1978</t>
        </is>
      </c>
      <c r="C105" t="inlineStr">
        <is>
          <t>0                      NA 0300000B  63          1978</t>
        </is>
      </c>
      <c r="D105" t="inlineStr">
        <is>
          <t>Etruscan and early Roman architecture / Axel Boëthius.</t>
        </is>
      </c>
      <c r="F105" t="inlineStr">
        <is>
          <t>No</t>
        </is>
      </c>
      <c r="G105" t="inlineStr">
        <is>
          <t>1</t>
        </is>
      </c>
      <c r="H105" t="inlineStr">
        <is>
          <t>No</t>
        </is>
      </c>
      <c r="I105" t="inlineStr">
        <is>
          <t>No</t>
        </is>
      </c>
      <c r="J105" t="inlineStr">
        <is>
          <t>0</t>
        </is>
      </c>
      <c r="K105" t="inlineStr">
        <is>
          <t>Boëthius, Axel, 1889-1969.</t>
        </is>
      </c>
      <c r="L105" t="inlineStr">
        <is>
          <t>Harmondsworth, Eng. ; New York : Penguin Books, 1978.</t>
        </is>
      </c>
      <c r="M105" t="inlineStr">
        <is>
          <t>1978</t>
        </is>
      </c>
      <c r="N105" t="inlineStr">
        <is>
          <t>2d integrated ed., rev. / by Roger Ling and Tom Rasmussen.</t>
        </is>
      </c>
      <c r="O105" t="inlineStr">
        <is>
          <t>eng</t>
        </is>
      </c>
      <c r="P105" t="inlineStr">
        <is>
          <t>enk</t>
        </is>
      </c>
      <c r="Q105" t="inlineStr">
        <is>
          <t>The Pelican history of art</t>
        </is>
      </c>
      <c r="R105" t="inlineStr">
        <is>
          <t xml:space="preserve">NA </t>
        </is>
      </c>
      <c r="S105" t="n">
        <v>3</v>
      </c>
      <c r="T105" t="n">
        <v>3</v>
      </c>
      <c r="U105" t="inlineStr">
        <is>
          <t>1996-01-04</t>
        </is>
      </c>
      <c r="V105" t="inlineStr">
        <is>
          <t>1996-01-04</t>
        </is>
      </c>
      <c r="W105" t="inlineStr">
        <is>
          <t>1993-05-13</t>
        </is>
      </c>
      <c r="X105" t="inlineStr">
        <is>
          <t>1993-05-13</t>
        </is>
      </c>
      <c r="Y105" t="n">
        <v>743</v>
      </c>
      <c r="Z105" t="n">
        <v>598</v>
      </c>
      <c r="AA105" t="n">
        <v>743</v>
      </c>
      <c r="AB105" t="n">
        <v>4</v>
      </c>
      <c r="AC105" t="n">
        <v>4</v>
      </c>
      <c r="AD105" t="n">
        <v>31</v>
      </c>
      <c r="AE105" t="n">
        <v>37</v>
      </c>
      <c r="AF105" t="n">
        <v>16</v>
      </c>
      <c r="AG105" t="n">
        <v>19</v>
      </c>
      <c r="AH105" t="n">
        <v>8</v>
      </c>
      <c r="AI105" t="n">
        <v>10</v>
      </c>
      <c r="AJ105" t="n">
        <v>14</v>
      </c>
      <c r="AK105" t="n">
        <v>16</v>
      </c>
      <c r="AL105" t="n">
        <v>3</v>
      </c>
      <c r="AM105" t="n">
        <v>3</v>
      </c>
      <c r="AN105" t="n">
        <v>0</v>
      </c>
      <c r="AO105" t="n">
        <v>0</v>
      </c>
      <c r="AP105" t="inlineStr">
        <is>
          <t>No</t>
        </is>
      </c>
      <c r="AQ105" t="inlineStr">
        <is>
          <t>Yes</t>
        </is>
      </c>
      <c r="AR105">
        <f>HYPERLINK("http://catalog.hathitrust.org/Record/000093460","HathiTrust Record")</f>
        <v/>
      </c>
      <c r="AS105">
        <f>HYPERLINK("https://creighton-primo.hosted.exlibrisgroup.com/primo-explore/search?tab=default_tab&amp;search_scope=EVERYTHING&amp;vid=01CRU&amp;lang=en_US&amp;offset=0&amp;query=any,contains,991004492279702656","Catalog Record")</f>
        <v/>
      </c>
      <c r="AT105">
        <f>HYPERLINK("http://www.worldcat.org/oclc/3669573","WorldCat Record")</f>
        <v/>
      </c>
      <c r="AU105" t="inlineStr">
        <is>
          <t>3855942566:eng</t>
        </is>
      </c>
      <c r="AV105" t="inlineStr">
        <is>
          <t>3669573</t>
        </is>
      </c>
      <c r="AW105" t="inlineStr">
        <is>
          <t>991004492279702656</t>
        </is>
      </c>
      <c r="AX105" t="inlineStr">
        <is>
          <t>991004492279702656</t>
        </is>
      </c>
      <c r="AY105" t="inlineStr">
        <is>
          <t>2262011850002656</t>
        </is>
      </c>
      <c r="AZ105" t="inlineStr">
        <is>
          <t>BOOK</t>
        </is>
      </c>
      <c r="BB105" t="inlineStr">
        <is>
          <t>9780140561449</t>
        </is>
      </c>
      <c r="BC105" t="inlineStr">
        <is>
          <t>32285001654184</t>
        </is>
      </c>
      <c r="BD105" t="inlineStr">
        <is>
          <t>893343899</t>
        </is>
      </c>
    </row>
    <row r="106">
      <c r="A106" t="inlineStr">
        <is>
          <t>No</t>
        </is>
      </c>
      <c r="B106" t="inlineStr">
        <is>
          <t>NA3010 .N6 1926</t>
        </is>
      </c>
      <c r="C106" t="inlineStr">
        <is>
          <t>0                      NA 3010000N  6           1926</t>
        </is>
      </c>
      <c r="D106" t="inlineStr">
        <is>
          <t>Historic doorways of Old Salem / by Mary Harrod Northend, illustrated from photographs by the author.</t>
        </is>
      </c>
      <c r="F106" t="inlineStr">
        <is>
          <t>No</t>
        </is>
      </c>
      <c r="G106" t="inlineStr">
        <is>
          <t>1</t>
        </is>
      </c>
      <c r="H106" t="inlineStr">
        <is>
          <t>No</t>
        </is>
      </c>
      <c r="I106" t="inlineStr">
        <is>
          <t>No</t>
        </is>
      </c>
      <c r="J106" t="inlineStr">
        <is>
          <t>0</t>
        </is>
      </c>
      <c r="K106" t="inlineStr">
        <is>
          <t>Northend, Mary Harrod, 1850-1926.</t>
        </is>
      </c>
      <c r="L106" t="inlineStr">
        <is>
          <t>Boston ; New York : Houghton Mifflin Co., 1926.</t>
        </is>
      </c>
      <c r="M106" t="inlineStr">
        <is>
          <t>1926</t>
        </is>
      </c>
      <c r="O106" t="inlineStr">
        <is>
          <t>eng</t>
        </is>
      </c>
      <c r="P106" t="inlineStr">
        <is>
          <t>mau</t>
        </is>
      </c>
      <c r="R106" t="inlineStr">
        <is>
          <t xml:space="preserve">NA </t>
        </is>
      </c>
      <c r="S106" t="n">
        <v>1</v>
      </c>
      <c r="T106" t="n">
        <v>1</v>
      </c>
      <c r="U106" t="inlineStr">
        <is>
          <t>2005-04-27</t>
        </is>
      </c>
      <c r="V106" t="inlineStr">
        <is>
          <t>2005-04-27</t>
        </is>
      </c>
      <c r="W106" t="inlineStr">
        <is>
          <t>2005-04-27</t>
        </is>
      </c>
      <c r="X106" t="inlineStr">
        <is>
          <t>2005-04-27</t>
        </is>
      </c>
      <c r="Y106" t="n">
        <v>216</v>
      </c>
      <c r="Z106" t="n">
        <v>208</v>
      </c>
      <c r="AA106" t="n">
        <v>209</v>
      </c>
      <c r="AB106" t="n">
        <v>2</v>
      </c>
      <c r="AC106" t="n">
        <v>2</v>
      </c>
      <c r="AD106" t="n">
        <v>10</v>
      </c>
      <c r="AE106" t="n">
        <v>10</v>
      </c>
      <c r="AF106" t="n">
        <v>2</v>
      </c>
      <c r="AG106" t="n">
        <v>2</v>
      </c>
      <c r="AH106" t="n">
        <v>2</v>
      </c>
      <c r="AI106" t="n">
        <v>2</v>
      </c>
      <c r="AJ106" t="n">
        <v>7</v>
      </c>
      <c r="AK106" t="n">
        <v>7</v>
      </c>
      <c r="AL106" t="n">
        <v>1</v>
      </c>
      <c r="AM106" t="n">
        <v>1</v>
      </c>
      <c r="AN106" t="n">
        <v>0</v>
      </c>
      <c r="AO106" t="n">
        <v>0</v>
      </c>
      <c r="AP106" t="inlineStr">
        <is>
          <t>No</t>
        </is>
      </c>
      <c r="AQ106" t="inlineStr">
        <is>
          <t>Yes</t>
        </is>
      </c>
      <c r="AR106">
        <f>HYPERLINK("http://catalog.hathitrust.org/Record/000604869","HathiTrust Record")</f>
        <v/>
      </c>
      <c r="AS106">
        <f>HYPERLINK("https://creighton-primo.hosted.exlibrisgroup.com/primo-explore/search?tab=default_tab&amp;search_scope=EVERYTHING&amp;vid=01CRU&amp;lang=en_US&amp;offset=0&amp;query=any,contains,991004546269702656","Catalog Record")</f>
        <v/>
      </c>
      <c r="AT106">
        <f>HYPERLINK("http://www.worldcat.org/oclc/1022389","WorldCat Record")</f>
        <v/>
      </c>
      <c r="AU106" t="inlineStr">
        <is>
          <t>1951279:eng</t>
        </is>
      </c>
      <c r="AV106" t="inlineStr">
        <is>
          <t>1022389</t>
        </is>
      </c>
      <c r="AW106" t="inlineStr">
        <is>
          <t>991004546269702656</t>
        </is>
      </c>
      <c r="AX106" t="inlineStr">
        <is>
          <t>991004546269702656</t>
        </is>
      </c>
      <c r="AY106" t="inlineStr">
        <is>
          <t>2272622170002656</t>
        </is>
      </c>
      <c r="AZ106" t="inlineStr">
        <is>
          <t>BOOK</t>
        </is>
      </c>
      <c r="BC106" t="inlineStr">
        <is>
          <t>32285005033880</t>
        </is>
      </c>
      <c r="BD106" t="inlineStr">
        <is>
          <t>893888857</t>
        </is>
      </c>
    </row>
    <row r="107">
      <c r="A107" t="inlineStr">
        <is>
          <t>No</t>
        </is>
      </c>
      <c r="B107" t="inlineStr">
        <is>
          <t>NA31 .O8</t>
        </is>
      </c>
      <c r="C107" t="inlineStr">
        <is>
          <t>0                      NA 0031000O  8</t>
        </is>
      </c>
      <c r="D107" t="inlineStr">
        <is>
          <t>A dictionary of English domestic architecture.</t>
        </is>
      </c>
      <c r="F107" t="inlineStr">
        <is>
          <t>No</t>
        </is>
      </c>
      <c r="G107" t="inlineStr">
        <is>
          <t>1</t>
        </is>
      </c>
      <c r="H107" t="inlineStr">
        <is>
          <t>No</t>
        </is>
      </c>
      <c r="I107" t="inlineStr">
        <is>
          <t>No</t>
        </is>
      </c>
      <c r="J107" t="inlineStr">
        <is>
          <t>0</t>
        </is>
      </c>
      <c r="K107" t="inlineStr">
        <is>
          <t>Osborne, Arthur Leslie.</t>
        </is>
      </c>
      <c r="L107" t="inlineStr">
        <is>
          <t>New York, Philosophical Library [1956]</t>
        </is>
      </c>
      <c r="M107" t="inlineStr">
        <is>
          <t>1956</t>
        </is>
      </c>
      <c r="O107" t="inlineStr">
        <is>
          <t>eng</t>
        </is>
      </c>
      <c r="P107" t="inlineStr">
        <is>
          <t>nyu</t>
        </is>
      </c>
      <c r="R107" t="inlineStr">
        <is>
          <t xml:space="preserve">NA </t>
        </is>
      </c>
      <c r="S107" t="n">
        <v>1</v>
      </c>
      <c r="T107" t="n">
        <v>1</v>
      </c>
      <c r="U107" t="inlineStr">
        <is>
          <t>2002-07-26</t>
        </is>
      </c>
      <c r="V107" t="inlineStr">
        <is>
          <t>2002-07-26</t>
        </is>
      </c>
      <c r="W107" t="inlineStr">
        <is>
          <t>1997-07-01</t>
        </is>
      </c>
      <c r="X107" t="inlineStr">
        <is>
          <t>1997-07-01</t>
        </is>
      </c>
      <c r="Y107" t="n">
        <v>113</v>
      </c>
      <c r="Z107" t="n">
        <v>108</v>
      </c>
      <c r="AA107" t="n">
        <v>154</v>
      </c>
      <c r="AB107" t="n">
        <v>1</v>
      </c>
      <c r="AC107" t="n">
        <v>1</v>
      </c>
      <c r="AD107" t="n">
        <v>4</v>
      </c>
      <c r="AE107" t="n">
        <v>4</v>
      </c>
      <c r="AF107" t="n">
        <v>0</v>
      </c>
      <c r="AG107" t="n">
        <v>0</v>
      </c>
      <c r="AH107" t="n">
        <v>0</v>
      </c>
      <c r="AI107" t="n">
        <v>0</v>
      </c>
      <c r="AJ107" t="n">
        <v>4</v>
      </c>
      <c r="AK107" t="n">
        <v>4</v>
      </c>
      <c r="AL107" t="n">
        <v>0</v>
      </c>
      <c r="AM107" t="n">
        <v>0</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HYPERLINK("https://creighton-primo.hosted.exlibrisgroup.com/primo-explore/search?tab=default_tab&amp;search_scope=EVERYTHING&amp;vid=01CRU&amp;lang=en_US&amp;offset=0&amp;query=any,contains,991003892759702656","Catalog Record")</f>
        <v/>
      </c>
      <c r="AT107">
        <f>HYPERLINK("http://www.worldcat.org/oclc/1800479","WorldCat Record")</f>
        <v/>
      </c>
      <c r="AU107" t="inlineStr">
        <is>
          <t>2522047:eng</t>
        </is>
      </c>
      <c r="AV107" t="inlineStr">
        <is>
          <t>1800479</t>
        </is>
      </c>
      <c r="AW107" t="inlineStr">
        <is>
          <t>991003892759702656</t>
        </is>
      </c>
      <c r="AX107" t="inlineStr">
        <is>
          <t>991003892759702656</t>
        </is>
      </c>
      <c r="AY107" t="inlineStr">
        <is>
          <t>2270410410002656</t>
        </is>
      </c>
      <c r="AZ107" t="inlineStr">
        <is>
          <t>BOOK</t>
        </is>
      </c>
      <c r="BC107" t="inlineStr">
        <is>
          <t>32285002860962</t>
        </is>
      </c>
      <c r="BD107" t="inlineStr">
        <is>
          <t>893349352</t>
        </is>
      </c>
    </row>
    <row r="108">
      <c r="A108" t="inlineStr">
        <is>
          <t>No</t>
        </is>
      </c>
      <c r="B108" t="inlineStr">
        <is>
          <t>NA31 .W45 1976</t>
        </is>
      </c>
      <c r="C108" t="inlineStr">
        <is>
          <t>0                      NA 0031000W  45          1976</t>
        </is>
      </c>
      <c r="D108" t="inlineStr">
        <is>
          <t>The architecture book / by Norval White.</t>
        </is>
      </c>
      <c r="F108" t="inlineStr">
        <is>
          <t>No</t>
        </is>
      </c>
      <c r="G108" t="inlineStr">
        <is>
          <t>1</t>
        </is>
      </c>
      <c r="H108" t="inlineStr">
        <is>
          <t>No</t>
        </is>
      </c>
      <c r="I108" t="inlineStr">
        <is>
          <t>No</t>
        </is>
      </c>
      <c r="J108" t="inlineStr">
        <is>
          <t>0</t>
        </is>
      </c>
      <c r="K108" t="inlineStr">
        <is>
          <t>White, Norval, 1926-2009.</t>
        </is>
      </c>
      <c r="L108" t="inlineStr">
        <is>
          <t>New York : Knopf, 1976.</t>
        </is>
      </c>
      <c r="M108" t="inlineStr">
        <is>
          <t>1976</t>
        </is>
      </c>
      <c r="N108" t="inlineStr">
        <is>
          <t>1st ed.</t>
        </is>
      </c>
      <c r="O108" t="inlineStr">
        <is>
          <t>eng</t>
        </is>
      </c>
      <c r="P108" t="inlineStr">
        <is>
          <t>nyu</t>
        </is>
      </c>
      <c r="R108" t="inlineStr">
        <is>
          <t xml:space="preserve">NA </t>
        </is>
      </c>
      <c r="S108" t="n">
        <v>6</v>
      </c>
      <c r="T108" t="n">
        <v>6</v>
      </c>
      <c r="U108" t="inlineStr">
        <is>
          <t>2002-05-02</t>
        </is>
      </c>
      <c r="V108" t="inlineStr">
        <is>
          <t>2002-05-02</t>
        </is>
      </c>
      <c r="W108" t="inlineStr">
        <is>
          <t>1997-07-01</t>
        </is>
      </c>
      <c r="X108" t="inlineStr">
        <is>
          <t>1997-07-01</t>
        </is>
      </c>
      <c r="Y108" t="n">
        <v>654</v>
      </c>
      <c r="Z108" t="n">
        <v>585</v>
      </c>
      <c r="AA108" t="n">
        <v>593</v>
      </c>
      <c r="AB108" t="n">
        <v>5</v>
      </c>
      <c r="AC108" t="n">
        <v>5</v>
      </c>
      <c r="AD108" t="n">
        <v>9</v>
      </c>
      <c r="AE108" t="n">
        <v>9</v>
      </c>
      <c r="AF108" t="n">
        <v>1</v>
      </c>
      <c r="AG108" t="n">
        <v>1</v>
      </c>
      <c r="AH108" t="n">
        <v>2</v>
      </c>
      <c r="AI108" t="n">
        <v>2</v>
      </c>
      <c r="AJ108" t="n">
        <v>4</v>
      </c>
      <c r="AK108" t="n">
        <v>4</v>
      </c>
      <c r="AL108" t="n">
        <v>3</v>
      </c>
      <c r="AM108" t="n">
        <v>3</v>
      </c>
      <c r="AN108" t="n">
        <v>0</v>
      </c>
      <c r="AO108" t="n">
        <v>0</v>
      </c>
      <c r="AP108" t="inlineStr">
        <is>
          <t>No</t>
        </is>
      </c>
      <c r="AQ108" t="inlineStr">
        <is>
          <t>Yes</t>
        </is>
      </c>
      <c r="AR108">
        <f>HYPERLINK("http://catalog.hathitrust.org/Record/000713960","HathiTrust Record")</f>
        <v/>
      </c>
      <c r="AS108">
        <f>HYPERLINK("https://creighton-primo.hosted.exlibrisgroup.com/primo-explore/search?tab=default_tab&amp;search_scope=EVERYTHING&amp;vid=01CRU&amp;lang=en_US&amp;offset=0&amp;query=any,contains,991004060159702656","Catalog Record")</f>
        <v/>
      </c>
      <c r="AT108">
        <f>HYPERLINK("http://www.worldcat.org/oclc/2238201","WorldCat Record")</f>
        <v/>
      </c>
      <c r="AU108" t="inlineStr">
        <is>
          <t>369598731:eng</t>
        </is>
      </c>
      <c r="AV108" t="inlineStr">
        <is>
          <t>2238201</t>
        </is>
      </c>
      <c r="AW108" t="inlineStr">
        <is>
          <t>991004060159702656</t>
        </is>
      </c>
      <c r="AX108" t="inlineStr">
        <is>
          <t>991004060159702656</t>
        </is>
      </c>
      <c r="AY108" t="inlineStr">
        <is>
          <t>2257483220002656</t>
        </is>
      </c>
      <c r="AZ108" t="inlineStr">
        <is>
          <t>BOOK</t>
        </is>
      </c>
      <c r="BB108" t="inlineStr">
        <is>
          <t>9780394493268</t>
        </is>
      </c>
      <c r="BC108" t="inlineStr">
        <is>
          <t>32285002860970</t>
        </is>
      </c>
      <c r="BD108" t="inlineStr">
        <is>
          <t>893535786</t>
        </is>
      </c>
    </row>
    <row r="109">
      <c r="A109" t="inlineStr">
        <is>
          <t>No</t>
        </is>
      </c>
      <c r="B109" t="inlineStr">
        <is>
          <t>NA310 .N28</t>
        </is>
      </c>
      <c r="C109" t="inlineStr">
        <is>
          <t>0                      NA 0310000N  28</t>
        </is>
      </c>
      <c r="D109" t="inlineStr">
        <is>
          <t>Pictorial dictionary of ancient Rome.</t>
        </is>
      </c>
      <c r="E109" t="inlineStr">
        <is>
          <t>V.2</t>
        </is>
      </c>
      <c r="F109" t="inlineStr">
        <is>
          <t>Yes</t>
        </is>
      </c>
      <c r="G109" t="inlineStr">
        <is>
          <t>1</t>
        </is>
      </c>
      <c r="H109" t="inlineStr">
        <is>
          <t>No</t>
        </is>
      </c>
      <c r="I109" t="inlineStr">
        <is>
          <t>No</t>
        </is>
      </c>
      <c r="J109" t="inlineStr">
        <is>
          <t>0</t>
        </is>
      </c>
      <c r="K109" t="inlineStr">
        <is>
          <t>Nash, Ernest.</t>
        </is>
      </c>
      <c r="L109" t="inlineStr">
        <is>
          <t>New York, Praeger [1961-62]</t>
        </is>
      </c>
      <c r="M109" t="inlineStr">
        <is>
          <t>1961</t>
        </is>
      </c>
      <c r="O109" t="inlineStr">
        <is>
          <t>eng</t>
        </is>
      </c>
      <c r="P109" t="inlineStr">
        <is>
          <t>nyu</t>
        </is>
      </c>
      <c r="Q109" t="inlineStr">
        <is>
          <t>Books that matter</t>
        </is>
      </c>
      <c r="R109" t="inlineStr">
        <is>
          <t xml:space="preserve">NA </t>
        </is>
      </c>
      <c r="S109" t="n">
        <v>2</v>
      </c>
      <c r="T109" t="n">
        <v>4</v>
      </c>
      <c r="U109" t="inlineStr">
        <is>
          <t>2003-04-26</t>
        </is>
      </c>
      <c r="V109" t="inlineStr">
        <is>
          <t>2003-04-26</t>
        </is>
      </c>
      <c r="W109" t="inlineStr">
        <is>
          <t>1997-07-01</t>
        </is>
      </c>
      <c r="X109" t="inlineStr">
        <is>
          <t>1997-07-01</t>
        </is>
      </c>
      <c r="Y109" t="n">
        <v>472</v>
      </c>
      <c r="Z109" t="n">
        <v>451</v>
      </c>
      <c r="AA109" t="n">
        <v>789</v>
      </c>
      <c r="AB109" t="n">
        <v>2</v>
      </c>
      <c r="AC109" t="n">
        <v>5</v>
      </c>
      <c r="AD109" t="n">
        <v>20</v>
      </c>
      <c r="AE109" t="n">
        <v>37</v>
      </c>
      <c r="AF109" t="n">
        <v>6</v>
      </c>
      <c r="AG109" t="n">
        <v>17</v>
      </c>
      <c r="AH109" t="n">
        <v>5</v>
      </c>
      <c r="AI109" t="n">
        <v>6</v>
      </c>
      <c r="AJ109" t="n">
        <v>11</v>
      </c>
      <c r="AK109" t="n">
        <v>20</v>
      </c>
      <c r="AL109" t="n">
        <v>1</v>
      </c>
      <c r="AM109" t="n">
        <v>4</v>
      </c>
      <c r="AN109" t="n">
        <v>0</v>
      </c>
      <c r="AO109" t="n">
        <v>0</v>
      </c>
      <c r="AP109" t="inlineStr">
        <is>
          <t>Yes</t>
        </is>
      </c>
      <c r="AQ109" t="inlineStr">
        <is>
          <t>No</t>
        </is>
      </c>
      <c r="AR109">
        <f>HYPERLINK("http://catalog.hathitrust.org/Record/000369401","HathiTrust Record")</f>
        <v/>
      </c>
      <c r="AS109">
        <f>HYPERLINK("https://creighton-primo.hosted.exlibrisgroup.com/primo-explore/search?tab=default_tab&amp;search_scope=EVERYTHING&amp;vid=01CRU&amp;lang=en_US&amp;offset=0&amp;query=any,contains,991003695829702656","Catalog Record")</f>
        <v/>
      </c>
      <c r="AT109">
        <f>HYPERLINK("http://www.worldcat.org/oclc/1327998","WorldCat Record")</f>
        <v/>
      </c>
      <c r="AU109" t="inlineStr">
        <is>
          <t>3373126747:eng</t>
        </is>
      </c>
      <c r="AV109" t="inlineStr">
        <is>
          <t>1327998</t>
        </is>
      </c>
      <c r="AW109" t="inlineStr">
        <is>
          <t>991003695829702656</t>
        </is>
      </c>
      <c r="AX109" t="inlineStr">
        <is>
          <t>991003695829702656</t>
        </is>
      </c>
      <c r="AY109" t="inlineStr">
        <is>
          <t>2258543130002656</t>
        </is>
      </c>
      <c r="AZ109" t="inlineStr">
        <is>
          <t>BOOK</t>
        </is>
      </c>
      <c r="BC109" t="inlineStr">
        <is>
          <t>32285002861150</t>
        </is>
      </c>
      <c r="BD109" t="inlineStr">
        <is>
          <t>893435316</t>
        </is>
      </c>
    </row>
    <row r="110">
      <c r="A110" t="inlineStr">
        <is>
          <t>No</t>
        </is>
      </c>
      <c r="B110" t="inlineStr">
        <is>
          <t>NA310 .N28</t>
        </is>
      </c>
      <c r="C110" t="inlineStr">
        <is>
          <t>0                      NA 0310000N  28</t>
        </is>
      </c>
      <c r="D110" t="inlineStr">
        <is>
          <t>Pictorial dictionary of ancient Rome.</t>
        </is>
      </c>
      <c r="E110" t="inlineStr">
        <is>
          <t>V.1</t>
        </is>
      </c>
      <c r="F110" t="inlineStr">
        <is>
          <t>Yes</t>
        </is>
      </c>
      <c r="G110" t="inlineStr">
        <is>
          <t>1</t>
        </is>
      </c>
      <c r="H110" t="inlineStr">
        <is>
          <t>No</t>
        </is>
      </c>
      <c r="I110" t="inlineStr">
        <is>
          <t>No</t>
        </is>
      </c>
      <c r="J110" t="inlineStr">
        <is>
          <t>0</t>
        </is>
      </c>
      <c r="K110" t="inlineStr">
        <is>
          <t>Nash, Ernest.</t>
        </is>
      </c>
      <c r="L110" t="inlineStr">
        <is>
          <t>New York, Praeger [1961-62]</t>
        </is>
      </c>
      <c r="M110" t="inlineStr">
        <is>
          <t>1961</t>
        </is>
      </c>
      <c r="O110" t="inlineStr">
        <is>
          <t>eng</t>
        </is>
      </c>
      <c r="P110" t="inlineStr">
        <is>
          <t>nyu</t>
        </is>
      </c>
      <c r="Q110" t="inlineStr">
        <is>
          <t>Books that matter</t>
        </is>
      </c>
      <c r="R110" t="inlineStr">
        <is>
          <t xml:space="preserve">NA </t>
        </is>
      </c>
      <c r="S110" t="n">
        <v>2</v>
      </c>
      <c r="T110" t="n">
        <v>4</v>
      </c>
      <c r="U110" t="inlineStr">
        <is>
          <t>2003-04-26</t>
        </is>
      </c>
      <c r="V110" t="inlineStr">
        <is>
          <t>2003-04-26</t>
        </is>
      </c>
      <c r="W110" t="inlineStr">
        <is>
          <t>1997-07-01</t>
        </is>
      </c>
      <c r="X110" t="inlineStr">
        <is>
          <t>1997-07-01</t>
        </is>
      </c>
      <c r="Y110" t="n">
        <v>472</v>
      </c>
      <c r="Z110" t="n">
        <v>451</v>
      </c>
      <c r="AA110" t="n">
        <v>789</v>
      </c>
      <c r="AB110" t="n">
        <v>2</v>
      </c>
      <c r="AC110" t="n">
        <v>5</v>
      </c>
      <c r="AD110" t="n">
        <v>20</v>
      </c>
      <c r="AE110" t="n">
        <v>37</v>
      </c>
      <c r="AF110" t="n">
        <v>6</v>
      </c>
      <c r="AG110" t="n">
        <v>17</v>
      </c>
      <c r="AH110" t="n">
        <v>5</v>
      </c>
      <c r="AI110" t="n">
        <v>6</v>
      </c>
      <c r="AJ110" t="n">
        <v>11</v>
      </c>
      <c r="AK110" t="n">
        <v>20</v>
      </c>
      <c r="AL110" t="n">
        <v>1</v>
      </c>
      <c r="AM110" t="n">
        <v>4</v>
      </c>
      <c r="AN110" t="n">
        <v>0</v>
      </c>
      <c r="AO110" t="n">
        <v>0</v>
      </c>
      <c r="AP110" t="inlineStr">
        <is>
          <t>Yes</t>
        </is>
      </c>
      <c r="AQ110" t="inlineStr">
        <is>
          <t>No</t>
        </is>
      </c>
      <c r="AR110">
        <f>HYPERLINK("http://catalog.hathitrust.org/Record/000369401","HathiTrust Record")</f>
        <v/>
      </c>
      <c r="AS110">
        <f>HYPERLINK("https://creighton-primo.hosted.exlibrisgroup.com/primo-explore/search?tab=default_tab&amp;search_scope=EVERYTHING&amp;vid=01CRU&amp;lang=en_US&amp;offset=0&amp;query=any,contains,991003695829702656","Catalog Record")</f>
        <v/>
      </c>
      <c r="AT110">
        <f>HYPERLINK("http://www.worldcat.org/oclc/1327998","WorldCat Record")</f>
        <v/>
      </c>
      <c r="AU110" t="inlineStr">
        <is>
          <t>3373126747:eng</t>
        </is>
      </c>
      <c r="AV110" t="inlineStr">
        <is>
          <t>1327998</t>
        </is>
      </c>
      <c r="AW110" t="inlineStr">
        <is>
          <t>991003695829702656</t>
        </is>
      </c>
      <c r="AX110" t="inlineStr">
        <is>
          <t>991003695829702656</t>
        </is>
      </c>
      <c r="AY110" t="inlineStr">
        <is>
          <t>2258543130002656</t>
        </is>
      </c>
      <c r="AZ110" t="inlineStr">
        <is>
          <t>BOOK</t>
        </is>
      </c>
      <c r="BC110" t="inlineStr">
        <is>
          <t>32285002861143</t>
        </is>
      </c>
      <c r="BD110" t="inlineStr">
        <is>
          <t>893410574</t>
        </is>
      </c>
    </row>
    <row r="111">
      <c r="A111" t="inlineStr">
        <is>
          <t>No</t>
        </is>
      </c>
      <c r="B111" t="inlineStr">
        <is>
          <t>NA310 .S6</t>
        </is>
      </c>
      <c r="C111" t="inlineStr">
        <is>
          <t>0                      NA 0310000S  6</t>
        </is>
      </c>
      <c r="D111" t="inlineStr">
        <is>
          <t>Architectural symbolism of imperial Rome and the Middle Ages.</t>
        </is>
      </c>
      <c r="F111" t="inlineStr">
        <is>
          <t>No</t>
        </is>
      </c>
      <c r="G111" t="inlineStr">
        <is>
          <t>1</t>
        </is>
      </c>
      <c r="H111" t="inlineStr">
        <is>
          <t>No</t>
        </is>
      </c>
      <c r="I111" t="inlineStr">
        <is>
          <t>No</t>
        </is>
      </c>
      <c r="J111" t="inlineStr">
        <is>
          <t>0</t>
        </is>
      </c>
      <c r="K111" t="inlineStr">
        <is>
          <t>Smith, E. Baldwin (Earl Baldwin), 1888-1956.</t>
        </is>
      </c>
      <c r="L111" t="inlineStr">
        <is>
          <t>Princeton : Princeton University Press, 1956.</t>
        </is>
      </c>
      <c r="M111" t="inlineStr">
        <is>
          <t>1956</t>
        </is>
      </c>
      <c r="O111" t="inlineStr">
        <is>
          <t>eng</t>
        </is>
      </c>
      <c r="P111" t="inlineStr">
        <is>
          <t>nju</t>
        </is>
      </c>
      <c r="Q111" t="inlineStr">
        <is>
          <t>Princeton monographs in art and archaeology ; 30</t>
        </is>
      </c>
      <c r="R111" t="inlineStr">
        <is>
          <t xml:space="preserve">NA </t>
        </is>
      </c>
      <c r="S111" t="n">
        <v>5</v>
      </c>
      <c r="T111" t="n">
        <v>5</v>
      </c>
      <c r="U111" t="inlineStr">
        <is>
          <t>1998-01-22</t>
        </is>
      </c>
      <c r="V111" t="inlineStr">
        <is>
          <t>1998-01-22</t>
        </is>
      </c>
      <c r="W111" t="inlineStr">
        <is>
          <t>1991-02-14</t>
        </is>
      </c>
      <c r="X111" t="inlineStr">
        <is>
          <t>1991-02-14</t>
        </is>
      </c>
      <c r="Y111" t="n">
        <v>660</v>
      </c>
      <c r="Z111" t="n">
        <v>539</v>
      </c>
      <c r="AA111" t="n">
        <v>664</v>
      </c>
      <c r="AB111" t="n">
        <v>7</v>
      </c>
      <c r="AC111" t="n">
        <v>7</v>
      </c>
      <c r="AD111" t="n">
        <v>30</v>
      </c>
      <c r="AE111" t="n">
        <v>38</v>
      </c>
      <c r="AF111" t="n">
        <v>12</v>
      </c>
      <c r="AG111" t="n">
        <v>14</v>
      </c>
      <c r="AH111" t="n">
        <v>5</v>
      </c>
      <c r="AI111" t="n">
        <v>10</v>
      </c>
      <c r="AJ111" t="n">
        <v>16</v>
      </c>
      <c r="AK111" t="n">
        <v>20</v>
      </c>
      <c r="AL111" t="n">
        <v>5</v>
      </c>
      <c r="AM111" t="n">
        <v>5</v>
      </c>
      <c r="AN111" t="n">
        <v>0</v>
      </c>
      <c r="AO111" t="n">
        <v>0</v>
      </c>
      <c r="AP111" t="inlineStr">
        <is>
          <t>No</t>
        </is>
      </c>
      <c r="AQ111" t="inlineStr">
        <is>
          <t>Yes</t>
        </is>
      </c>
      <c r="AR111">
        <f>HYPERLINK("http://catalog.hathitrust.org/Record/000451678","HathiTrust Record")</f>
        <v/>
      </c>
      <c r="AS111">
        <f>HYPERLINK("https://creighton-primo.hosted.exlibrisgroup.com/primo-explore/search?tab=default_tab&amp;search_scope=EVERYTHING&amp;vid=01CRU&amp;lang=en_US&amp;offset=0&amp;query=any,contains,991002894799702656","Catalog Record")</f>
        <v/>
      </c>
      <c r="AT111">
        <f>HYPERLINK("http://www.worldcat.org/oclc/513643","WorldCat Record")</f>
        <v/>
      </c>
      <c r="AU111" t="inlineStr">
        <is>
          <t>1483554:eng</t>
        </is>
      </c>
      <c r="AV111" t="inlineStr">
        <is>
          <t>513643</t>
        </is>
      </c>
      <c r="AW111" t="inlineStr">
        <is>
          <t>991002894799702656</t>
        </is>
      </c>
      <c r="AX111" t="inlineStr">
        <is>
          <t>991002894799702656</t>
        </is>
      </c>
      <c r="AY111" t="inlineStr">
        <is>
          <t>2262461460002656</t>
        </is>
      </c>
      <c r="AZ111" t="inlineStr">
        <is>
          <t>BOOK</t>
        </is>
      </c>
      <c r="BC111" t="inlineStr">
        <is>
          <t>32285000510551</t>
        </is>
      </c>
      <c r="BD111" t="inlineStr">
        <is>
          <t>893622875</t>
        </is>
      </c>
    </row>
    <row r="112">
      <c r="A112" t="inlineStr">
        <is>
          <t>No</t>
        </is>
      </c>
      <c r="B112" t="inlineStr">
        <is>
          <t>NA310 .T45 1995</t>
        </is>
      </c>
      <c r="C112" t="inlineStr">
        <is>
          <t>0                      NA 0310000T  45          1995</t>
        </is>
      </c>
      <c r="D112" t="inlineStr">
        <is>
          <t>Roman architecture / Martin Thorpe.</t>
        </is>
      </c>
      <c r="F112" t="inlineStr">
        <is>
          <t>No</t>
        </is>
      </c>
      <c r="G112" t="inlineStr">
        <is>
          <t>1</t>
        </is>
      </c>
      <c r="H112" t="inlineStr">
        <is>
          <t>No</t>
        </is>
      </c>
      <c r="I112" t="inlineStr">
        <is>
          <t>No</t>
        </is>
      </c>
      <c r="J112" t="inlineStr">
        <is>
          <t>0</t>
        </is>
      </c>
      <c r="K112" t="inlineStr">
        <is>
          <t>Thorpe, Martin.</t>
        </is>
      </c>
      <c r="L112" t="inlineStr">
        <is>
          <t>London : Bristol Classical Press, 1995.</t>
        </is>
      </c>
      <c r="M112" t="inlineStr">
        <is>
          <t>1995</t>
        </is>
      </c>
      <c r="O112" t="inlineStr">
        <is>
          <t>eng</t>
        </is>
      </c>
      <c r="P112" t="inlineStr">
        <is>
          <t>enk</t>
        </is>
      </c>
      <c r="Q112" t="inlineStr">
        <is>
          <t>Classical world series</t>
        </is>
      </c>
      <c r="R112" t="inlineStr">
        <is>
          <t xml:space="preserve">NA </t>
        </is>
      </c>
      <c r="S112" t="n">
        <v>6</v>
      </c>
      <c r="T112" t="n">
        <v>6</v>
      </c>
      <c r="U112" t="inlineStr">
        <is>
          <t>2009-12-12</t>
        </is>
      </c>
      <c r="V112" t="inlineStr">
        <is>
          <t>2009-12-12</t>
        </is>
      </c>
      <c r="W112" t="inlineStr">
        <is>
          <t>2001-04-09</t>
        </is>
      </c>
      <c r="X112" t="inlineStr">
        <is>
          <t>2001-04-09</t>
        </is>
      </c>
      <c r="Y112" t="n">
        <v>98</v>
      </c>
      <c r="Z112" t="n">
        <v>45</v>
      </c>
      <c r="AA112" t="n">
        <v>54</v>
      </c>
      <c r="AB112" t="n">
        <v>2</v>
      </c>
      <c r="AC112" t="n">
        <v>2</v>
      </c>
      <c r="AD112" t="n">
        <v>5</v>
      </c>
      <c r="AE112" t="n">
        <v>5</v>
      </c>
      <c r="AF112" t="n">
        <v>2</v>
      </c>
      <c r="AG112" t="n">
        <v>2</v>
      </c>
      <c r="AH112" t="n">
        <v>0</v>
      </c>
      <c r="AI112" t="n">
        <v>0</v>
      </c>
      <c r="AJ112" t="n">
        <v>3</v>
      </c>
      <c r="AK112" t="n">
        <v>3</v>
      </c>
      <c r="AL112" t="n">
        <v>1</v>
      </c>
      <c r="AM112" t="n">
        <v>1</v>
      </c>
      <c r="AN112" t="n">
        <v>0</v>
      </c>
      <c r="AO112" t="n">
        <v>0</v>
      </c>
      <c r="AP112" t="inlineStr">
        <is>
          <t>No</t>
        </is>
      </c>
      <c r="AQ112" t="inlineStr">
        <is>
          <t>Yes</t>
        </is>
      </c>
      <c r="AR112">
        <f>HYPERLINK("http://catalog.hathitrust.org/Record/101971129","HathiTrust Record")</f>
        <v/>
      </c>
      <c r="AS112">
        <f>HYPERLINK("https://creighton-primo.hosted.exlibrisgroup.com/primo-explore/search?tab=default_tab&amp;search_scope=EVERYTHING&amp;vid=01CRU&amp;lang=en_US&amp;offset=0&amp;query=any,contains,991003500299702656","Catalog Record")</f>
        <v/>
      </c>
      <c r="AT112">
        <f>HYPERLINK("http://www.worldcat.org/oclc/34339748","WorldCat Record")</f>
        <v/>
      </c>
      <c r="AU112" t="inlineStr">
        <is>
          <t>6163099:eng</t>
        </is>
      </c>
      <c r="AV112" t="inlineStr">
        <is>
          <t>34339748</t>
        </is>
      </c>
      <c r="AW112" t="inlineStr">
        <is>
          <t>991003500299702656</t>
        </is>
      </c>
      <c r="AX112" t="inlineStr">
        <is>
          <t>991003500299702656</t>
        </is>
      </c>
      <c r="AY112" t="inlineStr">
        <is>
          <t>2263150320002656</t>
        </is>
      </c>
      <c r="AZ112" t="inlineStr">
        <is>
          <t>BOOK</t>
        </is>
      </c>
      <c r="BB112" t="inlineStr">
        <is>
          <t>9781853994210</t>
        </is>
      </c>
      <c r="BC112" t="inlineStr">
        <is>
          <t>32285004310727</t>
        </is>
      </c>
      <c r="BD112" t="inlineStr">
        <is>
          <t>893805829</t>
        </is>
      </c>
    </row>
    <row r="113">
      <c r="A113" t="inlineStr">
        <is>
          <t>No</t>
        </is>
      </c>
      <c r="B113" t="inlineStr">
        <is>
          <t>NA310 .W55 2000</t>
        </is>
      </c>
      <c r="C113" t="inlineStr">
        <is>
          <t>0                      NA 0310000W  55          2000</t>
        </is>
      </c>
      <c r="D113" t="inlineStr">
        <is>
          <t>Principles of Roman architecture / Mark Wilson Jones.</t>
        </is>
      </c>
      <c r="F113" t="inlineStr">
        <is>
          <t>No</t>
        </is>
      </c>
      <c r="G113" t="inlineStr">
        <is>
          <t>1</t>
        </is>
      </c>
      <c r="H113" t="inlineStr">
        <is>
          <t>No</t>
        </is>
      </c>
      <c r="I113" t="inlineStr">
        <is>
          <t>No</t>
        </is>
      </c>
      <c r="J113" t="inlineStr">
        <is>
          <t>0</t>
        </is>
      </c>
      <c r="K113" t="inlineStr">
        <is>
          <t>Wilson Jones, Mark, 1956-</t>
        </is>
      </c>
      <c r="L113" t="inlineStr">
        <is>
          <t>New Haven, Conn. : Yale University Press, c2000.</t>
        </is>
      </c>
      <c r="M113" t="inlineStr">
        <is>
          <t>2000</t>
        </is>
      </c>
      <c r="O113" t="inlineStr">
        <is>
          <t>eng</t>
        </is>
      </c>
      <c r="P113" t="inlineStr">
        <is>
          <t>ctu</t>
        </is>
      </c>
      <c r="R113" t="inlineStr">
        <is>
          <t xml:space="preserve">NA </t>
        </is>
      </c>
      <c r="S113" t="n">
        <v>3</v>
      </c>
      <c r="T113" t="n">
        <v>3</v>
      </c>
      <c r="U113" t="inlineStr">
        <is>
          <t>2009-12-12</t>
        </is>
      </c>
      <c r="V113" t="inlineStr">
        <is>
          <t>2009-12-12</t>
        </is>
      </c>
      <c r="W113" t="inlineStr">
        <is>
          <t>2009-05-11</t>
        </is>
      </c>
      <c r="X113" t="inlineStr">
        <is>
          <t>2009-05-11</t>
        </is>
      </c>
      <c r="Y113" t="n">
        <v>646</v>
      </c>
      <c r="Z113" t="n">
        <v>487</v>
      </c>
      <c r="AA113" t="n">
        <v>588</v>
      </c>
      <c r="AB113" t="n">
        <v>5</v>
      </c>
      <c r="AC113" t="n">
        <v>5</v>
      </c>
      <c r="AD113" t="n">
        <v>25</v>
      </c>
      <c r="AE113" t="n">
        <v>26</v>
      </c>
      <c r="AF113" t="n">
        <v>10</v>
      </c>
      <c r="AG113" t="n">
        <v>10</v>
      </c>
      <c r="AH113" t="n">
        <v>6</v>
      </c>
      <c r="AI113" t="n">
        <v>7</v>
      </c>
      <c r="AJ113" t="n">
        <v>13</v>
      </c>
      <c r="AK113" t="n">
        <v>13</v>
      </c>
      <c r="AL113" t="n">
        <v>3</v>
      </c>
      <c r="AM113" t="n">
        <v>3</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HYPERLINK("https://creighton-primo.hosted.exlibrisgroup.com/primo-explore/search?tab=default_tab&amp;search_scope=EVERYTHING&amp;vid=01CRU&amp;lang=en_US&amp;offset=0&amp;query=any,contains,991005310559702656","Catalog Record")</f>
        <v/>
      </c>
      <c r="AT113">
        <f>HYPERLINK("http://www.worldcat.org/oclc/41035350","WorldCat Record")</f>
        <v/>
      </c>
      <c r="AU113" t="inlineStr">
        <is>
          <t>672213:eng</t>
        </is>
      </c>
      <c r="AV113" t="inlineStr">
        <is>
          <t>41035350</t>
        </is>
      </c>
      <c r="AW113" t="inlineStr">
        <is>
          <t>991005310559702656</t>
        </is>
      </c>
      <c r="AX113" t="inlineStr">
        <is>
          <t>991005310559702656</t>
        </is>
      </c>
      <c r="AY113" t="inlineStr">
        <is>
          <t>2257801510002656</t>
        </is>
      </c>
      <c r="AZ113" t="inlineStr">
        <is>
          <t>BOOK</t>
        </is>
      </c>
      <c r="BB113" t="inlineStr">
        <is>
          <t>9780300081381</t>
        </is>
      </c>
      <c r="BC113" t="inlineStr">
        <is>
          <t>32285005531875</t>
        </is>
      </c>
      <c r="BD113" t="inlineStr">
        <is>
          <t>893443744</t>
        </is>
      </c>
    </row>
    <row r="114">
      <c r="A114" t="inlineStr">
        <is>
          <t>No</t>
        </is>
      </c>
      <c r="B114" t="inlineStr">
        <is>
          <t>NA323 .L4</t>
        </is>
      </c>
      <c r="C114" t="inlineStr">
        <is>
          <t>0                      NA 0323000L  4</t>
        </is>
      </c>
      <c r="D114" t="inlineStr">
        <is>
          <t>Temples in Roman Britain, by M. J. T. Lewis.</t>
        </is>
      </c>
      <c r="F114" t="inlineStr">
        <is>
          <t>No</t>
        </is>
      </c>
      <c r="G114" t="inlineStr">
        <is>
          <t>1</t>
        </is>
      </c>
      <c r="H114" t="inlineStr">
        <is>
          <t>No</t>
        </is>
      </c>
      <c r="I114" t="inlineStr">
        <is>
          <t>No</t>
        </is>
      </c>
      <c r="J114" t="inlineStr">
        <is>
          <t>0</t>
        </is>
      </c>
      <c r="K114" t="inlineStr">
        <is>
          <t>Lewis, M. J. T., 1938-</t>
        </is>
      </c>
      <c r="L114" t="inlineStr">
        <is>
          <t>Cambridge, Cambridge U. P., 1966.</t>
        </is>
      </c>
      <c r="M114" t="inlineStr">
        <is>
          <t>1966</t>
        </is>
      </c>
      <c r="O114" t="inlineStr">
        <is>
          <t>eng</t>
        </is>
      </c>
      <c r="P114" t="inlineStr">
        <is>
          <t>enk</t>
        </is>
      </c>
      <c r="Q114" t="inlineStr">
        <is>
          <t>Cambridge classical studies</t>
        </is>
      </c>
      <c r="R114" t="inlineStr">
        <is>
          <t xml:space="preserve">NA </t>
        </is>
      </c>
      <c r="S114" t="n">
        <v>2</v>
      </c>
      <c r="T114" t="n">
        <v>2</v>
      </c>
      <c r="U114" t="inlineStr">
        <is>
          <t>1998-01-22</t>
        </is>
      </c>
      <c r="V114" t="inlineStr">
        <is>
          <t>1998-01-22</t>
        </is>
      </c>
      <c r="W114" t="inlineStr">
        <is>
          <t>1997-07-01</t>
        </is>
      </c>
      <c r="X114" t="inlineStr">
        <is>
          <t>1997-07-01</t>
        </is>
      </c>
      <c r="Y114" t="n">
        <v>438</v>
      </c>
      <c r="Z114" t="n">
        <v>312</v>
      </c>
      <c r="AA114" t="n">
        <v>324</v>
      </c>
      <c r="AB114" t="n">
        <v>2</v>
      </c>
      <c r="AC114" t="n">
        <v>2</v>
      </c>
      <c r="AD114" t="n">
        <v>15</v>
      </c>
      <c r="AE114" t="n">
        <v>15</v>
      </c>
      <c r="AF114" t="n">
        <v>3</v>
      </c>
      <c r="AG114" t="n">
        <v>3</v>
      </c>
      <c r="AH114" t="n">
        <v>4</v>
      </c>
      <c r="AI114" t="n">
        <v>4</v>
      </c>
      <c r="AJ114" t="n">
        <v>9</v>
      </c>
      <c r="AK114" t="n">
        <v>9</v>
      </c>
      <c r="AL114" t="n">
        <v>1</v>
      </c>
      <c r="AM114" t="n">
        <v>1</v>
      </c>
      <c r="AN114" t="n">
        <v>0</v>
      </c>
      <c r="AO114" t="n">
        <v>0</v>
      </c>
      <c r="AP114" t="inlineStr">
        <is>
          <t>No</t>
        </is>
      </c>
      <c r="AQ114" t="inlineStr">
        <is>
          <t>Yes</t>
        </is>
      </c>
      <c r="AR114">
        <f>HYPERLINK("http://catalog.hathitrust.org/Record/000410222","HathiTrust Record")</f>
        <v/>
      </c>
      <c r="AS114">
        <f>HYPERLINK("https://creighton-primo.hosted.exlibrisgroup.com/primo-explore/search?tab=default_tab&amp;search_scope=EVERYTHING&amp;vid=01CRU&amp;lang=en_US&amp;offset=0&amp;query=any,contains,991003137809702656","Catalog Record")</f>
        <v/>
      </c>
      <c r="AT114">
        <f>HYPERLINK("http://www.worldcat.org/oclc/679330","WorldCat Record")</f>
        <v/>
      </c>
      <c r="AU114" t="inlineStr">
        <is>
          <t>1746359:eng</t>
        </is>
      </c>
      <c r="AV114" t="inlineStr">
        <is>
          <t>679330</t>
        </is>
      </c>
      <c r="AW114" t="inlineStr">
        <is>
          <t>991003137809702656</t>
        </is>
      </c>
      <c r="AX114" t="inlineStr">
        <is>
          <t>991003137809702656</t>
        </is>
      </c>
      <c r="AY114" t="inlineStr">
        <is>
          <t>2269709940002656</t>
        </is>
      </c>
      <c r="AZ114" t="inlineStr">
        <is>
          <t>BOOK</t>
        </is>
      </c>
      <c r="BC114" t="inlineStr">
        <is>
          <t>32285002861168</t>
        </is>
      </c>
      <c r="BD114" t="inlineStr">
        <is>
          <t>893598304</t>
        </is>
      </c>
    </row>
    <row r="115">
      <c r="A115" t="inlineStr">
        <is>
          <t>No</t>
        </is>
      </c>
      <c r="B115" t="inlineStr">
        <is>
          <t>NA324 .D8 1994</t>
        </is>
      </c>
      <c r="C115" t="inlineStr">
        <is>
          <t>0                      NA 0324000D  8           1994</t>
        </is>
      </c>
      <c r="D115" t="inlineStr">
        <is>
          <t>The villas of Pliny from antiquity to posterity / Pierre de la Ruffinière du Prey.</t>
        </is>
      </c>
      <c r="F115" t="inlineStr">
        <is>
          <t>No</t>
        </is>
      </c>
      <c r="G115" t="inlineStr">
        <is>
          <t>1</t>
        </is>
      </c>
      <c r="H115" t="inlineStr">
        <is>
          <t>No</t>
        </is>
      </c>
      <c r="I115" t="inlineStr">
        <is>
          <t>No</t>
        </is>
      </c>
      <c r="J115" t="inlineStr">
        <is>
          <t>0</t>
        </is>
      </c>
      <c r="K115" t="inlineStr">
        <is>
          <t>Du Prey, Pierre de la Ruffinière.</t>
        </is>
      </c>
      <c r="L115" t="inlineStr">
        <is>
          <t>Chicago : University of Chicago Press, c1994.</t>
        </is>
      </c>
      <c r="M115" t="inlineStr">
        <is>
          <t>1994</t>
        </is>
      </c>
      <c r="O115" t="inlineStr">
        <is>
          <t>eng</t>
        </is>
      </c>
      <c r="P115" t="inlineStr">
        <is>
          <t>ilu</t>
        </is>
      </c>
      <c r="R115" t="inlineStr">
        <is>
          <t xml:space="preserve">NA </t>
        </is>
      </c>
      <c r="S115" t="n">
        <v>2</v>
      </c>
      <c r="T115" t="n">
        <v>2</v>
      </c>
      <c r="U115" t="inlineStr">
        <is>
          <t>2006-11-26</t>
        </is>
      </c>
      <c r="V115" t="inlineStr">
        <is>
          <t>2006-11-26</t>
        </is>
      </c>
      <c r="W115" t="inlineStr">
        <is>
          <t>1996-04-28</t>
        </is>
      </c>
      <c r="X115" t="inlineStr">
        <is>
          <t>1996-04-28</t>
        </is>
      </c>
      <c r="Y115" t="n">
        <v>459</v>
      </c>
      <c r="Z115" t="n">
        <v>353</v>
      </c>
      <c r="AA115" t="n">
        <v>353</v>
      </c>
      <c r="AB115" t="n">
        <v>3</v>
      </c>
      <c r="AC115" t="n">
        <v>3</v>
      </c>
      <c r="AD115" t="n">
        <v>22</v>
      </c>
      <c r="AE115" t="n">
        <v>22</v>
      </c>
      <c r="AF115" t="n">
        <v>7</v>
      </c>
      <c r="AG115" t="n">
        <v>7</v>
      </c>
      <c r="AH115" t="n">
        <v>6</v>
      </c>
      <c r="AI115" t="n">
        <v>6</v>
      </c>
      <c r="AJ115" t="n">
        <v>14</v>
      </c>
      <c r="AK115" t="n">
        <v>14</v>
      </c>
      <c r="AL115" t="n">
        <v>2</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HYPERLINK("https://creighton-primo.hosted.exlibrisgroup.com/primo-explore/search?tab=default_tab&amp;search_scope=EVERYTHING&amp;vid=01CRU&amp;lang=en_US&amp;offset=0&amp;query=any,contains,991002276789702656","Catalog Record")</f>
        <v/>
      </c>
      <c r="AT115">
        <f>HYPERLINK("http://www.worldcat.org/oclc/29548193","WorldCat Record")</f>
        <v/>
      </c>
      <c r="AU115" t="inlineStr">
        <is>
          <t>1089993:eng</t>
        </is>
      </c>
      <c r="AV115" t="inlineStr">
        <is>
          <t>29548193</t>
        </is>
      </c>
      <c r="AW115" t="inlineStr">
        <is>
          <t>991002276789702656</t>
        </is>
      </c>
      <c r="AX115" t="inlineStr">
        <is>
          <t>991002276789702656</t>
        </is>
      </c>
      <c r="AY115" t="inlineStr">
        <is>
          <t>2270921700002656</t>
        </is>
      </c>
      <c r="AZ115" t="inlineStr">
        <is>
          <t>BOOK</t>
        </is>
      </c>
      <c r="BB115" t="inlineStr">
        <is>
          <t>9780226173009</t>
        </is>
      </c>
      <c r="BC115" t="inlineStr">
        <is>
          <t>32285002158219</t>
        </is>
      </c>
      <c r="BD115" t="inlineStr">
        <is>
          <t>893226649</t>
        </is>
      </c>
    </row>
    <row r="116">
      <c r="A116" t="inlineStr">
        <is>
          <t>No</t>
        </is>
      </c>
      <c r="B116" t="inlineStr">
        <is>
          <t>NA327.T5 M23 1995</t>
        </is>
      </c>
      <c r="C116" t="inlineStr">
        <is>
          <t>0                      NA 0327000T  5                  M  23          1995</t>
        </is>
      </c>
      <c r="D116" t="inlineStr">
        <is>
          <t>Hadrian's villa and its legacy / William L. MacDonald and John A. Pinto.</t>
        </is>
      </c>
      <c r="F116" t="inlineStr">
        <is>
          <t>No</t>
        </is>
      </c>
      <c r="G116" t="inlineStr">
        <is>
          <t>1</t>
        </is>
      </c>
      <c r="H116" t="inlineStr">
        <is>
          <t>No</t>
        </is>
      </c>
      <c r="I116" t="inlineStr">
        <is>
          <t>No</t>
        </is>
      </c>
      <c r="J116" t="inlineStr">
        <is>
          <t>0</t>
        </is>
      </c>
      <c r="K116" t="inlineStr">
        <is>
          <t>MacDonald, William L. (William Lloyd), 1921-</t>
        </is>
      </c>
      <c r="L116" t="inlineStr">
        <is>
          <t>New Haven : Yale University Press, c1995.</t>
        </is>
      </c>
      <c r="M116" t="inlineStr">
        <is>
          <t>1995</t>
        </is>
      </c>
      <c r="O116" t="inlineStr">
        <is>
          <t>eng</t>
        </is>
      </c>
      <c r="P116" t="inlineStr">
        <is>
          <t>ctu</t>
        </is>
      </c>
      <c r="R116" t="inlineStr">
        <is>
          <t xml:space="preserve">NA </t>
        </is>
      </c>
      <c r="S116" t="n">
        <v>3</v>
      </c>
      <c r="T116" t="n">
        <v>3</v>
      </c>
      <c r="U116" t="inlineStr">
        <is>
          <t>2003-03-28</t>
        </is>
      </c>
      <c r="V116" t="inlineStr">
        <is>
          <t>2003-03-28</t>
        </is>
      </c>
      <c r="W116" t="inlineStr">
        <is>
          <t>2000-01-05</t>
        </is>
      </c>
      <c r="X116" t="inlineStr">
        <is>
          <t>2000-01-05</t>
        </is>
      </c>
      <c r="Y116" t="n">
        <v>678</v>
      </c>
      <c r="Z116" t="n">
        <v>512</v>
      </c>
      <c r="AA116" t="n">
        <v>519</v>
      </c>
      <c r="AB116" t="n">
        <v>3</v>
      </c>
      <c r="AC116" t="n">
        <v>3</v>
      </c>
      <c r="AD116" t="n">
        <v>33</v>
      </c>
      <c r="AE116" t="n">
        <v>33</v>
      </c>
      <c r="AF116" t="n">
        <v>15</v>
      </c>
      <c r="AG116" t="n">
        <v>15</v>
      </c>
      <c r="AH116" t="n">
        <v>7</v>
      </c>
      <c r="AI116" t="n">
        <v>7</v>
      </c>
      <c r="AJ116" t="n">
        <v>20</v>
      </c>
      <c r="AK116" t="n">
        <v>20</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HYPERLINK("https://creighton-primo.hosted.exlibrisgroup.com/primo-explore/search?tab=default_tab&amp;search_scope=EVERYTHING&amp;vid=01CRU&amp;lang=en_US&amp;offset=0&amp;query=any,contains,991002362719702656","Catalog Record")</f>
        <v/>
      </c>
      <c r="AT116">
        <f>HYPERLINK("http://www.worldcat.org/oclc/30734581","WorldCat Record")</f>
        <v/>
      </c>
      <c r="AU116" t="inlineStr">
        <is>
          <t>10792744073:eng</t>
        </is>
      </c>
      <c r="AV116" t="inlineStr">
        <is>
          <t>30734581</t>
        </is>
      </c>
      <c r="AW116" t="inlineStr">
        <is>
          <t>991002362719702656</t>
        </is>
      </c>
      <c r="AX116" t="inlineStr">
        <is>
          <t>991002362719702656</t>
        </is>
      </c>
      <c r="AY116" t="inlineStr">
        <is>
          <t>2264338880002656</t>
        </is>
      </c>
      <c r="AZ116" t="inlineStr">
        <is>
          <t>BOOK</t>
        </is>
      </c>
      <c r="BB116" t="inlineStr">
        <is>
          <t>9780300053814</t>
        </is>
      </c>
      <c r="BC116" t="inlineStr">
        <is>
          <t>32285003636908</t>
        </is>
      </c>
      <c r="BD116" t="inlineStr">
        <is>
          <t>893529871</t>
        </is>
      </c>
    </row>
    <row r="117">
      <c r="A117" t="inlineStr">
        <is>
          <t>No</t>
        </is>
      </c>
      <c r="B117" t="inlineStr">
        <is>
          <t>NA335.I68 S45 1997</t>
        </is>
      </c>
      <c r="C117" t="inlineStr">
        <is>
          <t>0                      NA 0335000I  68                 S  45          1997</t>
        </is>
      </c>
      <c r="D117" t="inlineStr">
        <is>
          <t>From function to monument : urban landscapes of Roman Palestine, Syria and Provincia Arabia / Arthur Segal.</t>
        </is>
      </c>
      <c r="F117" t="inlineStr">
        <is>
          <t>No</t>
        </is>
      </c>
      <c r="G117" t="inlineStr">
        <is>
          <t>1</t>
        </is>
      </c>
      <c r="H117" t="inlineStr">
        <is>
          <t>No</t>
        </is>
      </c>
      <c r="I117" t="inlineStr">
        <is>
          <t>No</t>
        </is>
      </c>
      <c r="J117" t="inlineStr">
        <is>
          <t>0</t>
        </is>
      </c>
      <c r="K117" t="inlineStr">
        <is>
          <t>Segal, Arthur.</t>
        </is>
      </c>
      <c r="L117" t="inlineStr">
        <is>
          <t>Oxford : Oxbow, c1997.</t>
        </is>
      </c>
      <c r="M117" t="inlineStr">
        <is>
          <t>1997</t>
        </is>
      </c>
      <c r="O117" t="inlineStr">
        <is>
          <t>eng</t>
        </is>
      </c>
      <c r="P117" t="inlineStr">
        <is>
          <t>enk</t>
        </is>
      </c>
      <c r="Q117" t="inlineStr">
        <is>
          <t>Oxbow monograph ; 66</t>
        </is>
      </c>
      <c r="R117" t="inlineStr">
        <is>
          <t xml:space="preserve">NA </t>
        </is>
      </c>
      <c r="S117" t="n">
        <v>1</v>
      </c>
      <c r="T117" t="n">
        <v>1</v>
      </c>
      <c r="U117" t="inlineStr">
        <is>
          <t>2008-04-20</t>
        </is>
      </c>
      <c r="V117" t="inlineStr">
        <is>
          <t>2008-04-20</t>
        </is>
      </c>
      <c r="W117" t="inlineStr">
        <is>
          <t>1998-04-16</t>
        </is>
      </c>
      <c r="X117" t="inlineStr">
        <is>
          <t>1998-04-16</t>
        </is>
      </c>
      <c r="Y117" t="n">
        <v>246</v>
      </c>
      <c r="Z117" t="n">
        <v>165</v>
      </c>
      <c r="AA117" t="n">
        <v>165</v>
      </c>
      <c r="AB117" t="n">
        <v>2</v>
      </c>
      <c r="AC117" t="n">
        <v>2</v>
      </c>
      <c r="AD117" t="n">
        <v>10</v>
      </c>
      <c r="AE117" t="n">
        <v>10</v>
      </c>
      <c r="AF117" t="n">
        <v>2</v>
      </c>
      <c r="AG117" t="n">
        <v>2</v>
      </c>
      <c r="AH117" t="n">
        <v>2</v>
      </c>
      <c r="AI117" t="n">
        <v>2</v>
      </c>
      <c r="AJ117" t="n">
        <v>6</v>
      </c>
      <c r="AK117" t="n">
        <v>6</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HYPERLINK("https://creighton-primo.hosted.exlibrisgroup.com/primo-explore/search?tab=default_tab&amp;search_scope=EVERYTHING&amp;vid=01CRU&amp;lang=en_US&amp;offset=0&amp;query=any,contains,991002828569702656","Catalog Record")</f>
        <v/>
      </c>
      <c r="AT117">
        <f>HYPERLINK("http://www.worldcat.org/oclc/37245522","WorldCat Record")</f>
        <v/>
      </c>
      <c r="AU117" t="inlineStr">
        <is>
          <t>808137202:eng</t>
        </is>
      </c>
      <c r="AV117" t="inlineStr">
        <is>
          <t>37245522</t>
        </is>
      </c>
      <c r="AW117" t="inlineStr">
        <is>
          <t>991002828569702656</t>
        </is>
      </c>
      <c r="AX117" t="inlineStr">
        <is>
          <t>991002828569702656</t>
        </is>
      </c>
      <c r="AY117" t="inlineStr">
        <is>
          <t>2266553940002656</t>
        </is>
      </c>
      <c r="AZ117" t="inlineStr">
        <is>
          <t>BOOK</t>
        </is>
      </c>
      <c r="BB117" t="inlineStr">
        <is>
          <t>9781900188135</t>
        </is>
      </c>
      <c r="BC117" t="inlineStr">
        <is>
          <t>32285003375200</t>
        </is>
      </c>
      <c r="BD117" t="inlineStr">
        <is>
          <t>893504866</t>
        </is>
      </c>
    </row>
    <row r="118">
      <c r="A118" t="inlineStr">
        <is>
          <t>No</t>
        </is>
      </c>
      <c r="B118" t="inlineStr">
        <is>
          <t>NA340.V5 M34 1985</t>
        </is>
      </c>
      <c r="C118" t="inlineStr">
        <is>
          <t>0                      NA 0340000V  5                  M  34          1985</t>
        </is>
      </c>
      <c r="D118" t="inlineStr">
        <is>
          <t>Vitruvius, architect and engineer : buildings and building techniques in Augustan Rome / Alexander McKay.</t>
        </is>
      </c>
      <c r="F118" t="inlineStr">
        <is>
          <t>No</t>
        </is>
      </c>
      <c r="G118" t="inlineStr">
        <is>
          <t>1</t>
        </is>
      </c>
      <c r="H118" t="inlineStr">
        <is>
          <t>No</t>
        </is>
      </c>
      <c r="I118" t="inlineStr">
        <is>
          <t>No</t>
        </is>
      </c>
      <c r="J118" t="inlineStr">
        <is>
          <t>0</t>
        </is>
      </c>
      <c r="K118" t="inlineStr">
        <is>
          <t>McKay, Alexander G., 1924-2007.</t>
        </is>
      </c>
      <c r="L118" t="inlineStr">
        <is>
          <t>Bristol [Eng.] : Bristol Classical Press, 1985.</t>
        </is>
      </c>
      <c r="M118" t="inlineStr">
        <is>
          <t>1985</t>
        </is>
      </c>
      <c r="O118" t="inlineStr">
        <is>
          <t>eng</t>
        </is>
      </c>
      <c r="P118" t="inlineStr">
        <is>
          <t>enk</t>
        </is>
      </c>
      <c r="Q118" t="inlineStr">
        <is>
          <t>Inside the ancient world</t>
        </is>
      </c>
      <c r="R118" t="inlineStr">
        <is>
          <t xml:space="preserve">NA </t>
        </is>
      </c>
      <c r="S118" t="n">
        <v>6</v>
      </c>
      <c r="T118" t="n">
        <v>6</v>
      </c>
      <c r="U118" t="inlineStr">
        <is>
          <t>2005-10-11</t>
        </is>
      </c>
      <c r="V118" t="inlineStr">
        <is>
          <t>2005-10-11</t>
        </is>
      </c>
      <c r="W118" t="inlineStr">
        <is>
          <t>1993-05-13</t>
        </is>
      </c>
      <c r="X118" t="inlineStr">
        <is>
          <t>1993-05-13</t>
        </is>
      </c>
      <c r="Y118" t="n">
        <v>68</v>
      </c>
      <c r="Z118" t="n">
        <v>54</v>
      </c>
      <c r="AA118" t="n">
        <v>92</v>
      </c>
      <c r="AB118" t="n">
        <v>2</v>
      </c>
      <c r="AC118" t="n">
        <v>2</v>
      </c>
      <c r="AD118" t="n">
        <v>2</v>
      </c>
      <c r="AE118" t="n">
        <v>4</v>
      </c>
      <c r="AF118" t="n">
        <v>0</v>
      </c>
      <c r="AG118" t="n">
        <v>0</v>
      </c>
      <c r="AH118" t="n">
        <v>0</v>
      </c>
      <c r="AI118" t="n">
        <v>0</v>
      </c>
      <c r="AJ118" t="n">
        <v>1</v>
      </c>
      <c r="AK118" t="n">
        <v>3</v>
      </c>
      <c r="AL118" t="n">
        <v>1</v>
      </c>
      <c r="AM118" t="n">
        <v>1</v>
      </c>
      <c r="AN118" t="n">
        <v>0</v>
      </c>
      <c r="AO118" t="n">
        <v>0</v>
      </c>
      <c r="AP118" t="inlineStr">
        <is>
          <t>No</t>
        </is>
      </c>
      <c r="AQ118" t="inlineStr">
        <is>
          <t>Yes</t>
        </is>
      </c>
      <c r="AR118">
        <f>HYPERLINK("http://catalog.hathitrust.org/Record/102772746","HathiTrust Record")</f>
        <v/>
      </c>
      <c r="AS118">
        <f>HYPERLINK("https://creighton-primo.hosted.exlibrisgroup.com/primo-explore/search?tab=default_tab&amp;search_scope=EVERYTHING&amp;vid=01CRU&amp;lang=en_US&amp;offset=0&amp;query=any,contains,991000838529702656","Catalog Record")</f>
        <v/>
      </c>
      <c r="AT118">
        <f>HYPERLINK("http://www.worldcat.org/oclc/13519548","WorldCat Record")</f>
        <v/>
      </c>
      <c r="AU118" t="inlineStr">
        <is>
          <t>7184361:eng</t>
        </is>
      </c>
      <c r="AV118" t="inlineStr">
        <is>
          <t>13519548</t>
        </is>
      </c>
      <c r="AW118" t="inlineStr">
        <is>
          <t>991000838529702656</t>
        </is>
      </c>
      <c r="AX118" t="inlineStr">
        <is>
          <t>991000838529702656</t>
        </is>
      </c>
      <c r="AY118" t="inlineStr">
        <is>
          <t>2268785030002656</t>
        </is>
      </c>
      <c r="AZ118" t="inlineStr">
        <is>
          <t>BOOK</t>
        </is>
      </c>
      <c r="BB118" t="inlineStr">
        <is>
          <t>9780862921576</t>
        </is>
      </c>
      <c r="BC118" t="inlineStr">
        <is>
          <t>32285001654259</t>
        </is>
      </c>
      <c r="BD118" t="inlineStr">
        <is>
          <t>893884809</t>
        </is>
      </c>
    </row>
    <row r="119">
      <c r="A119" t="inlineStr">
        <is>
          <t>No</t>
        </is>
      </c>
      <c r="B119" t="inlineStr">
        <is>
          <t>NA350 .H26 1972b</t>
        </is>
      </c>
      <c r="C119" t="inlineStr">
        <is>
          <t>0                      NA 0350000H  26          1972b</t>
        </is>
      </c>
      <c r="D119" t="inlineStr">
        <is>
          <t>The mediaeval architect / [by] John Harvey.</t>
        </is>
      </c>
      <c r="F119" t="inlineStr">
        <is>
          <t>No</t>
        </is>
      </c>
      <c r="G119" t="inlineStr">
        <is>
          <t>1</t>
        </is>
      </c>
      <c r="H119" t="inlineStr">
        <is>
          <t>No</t>
        </is>
      </c>
      <c r="I119" t="inlineStr">
        <is>
          <t>No</t>
        </is>
      </c>
      <c r="J119" t="inlineStr">
        <is>
          <t>0</t>
        </is>
      </c>
      <c r="K119" t="inlineStr">
        <is>
          <t>Harvey, John, 1911-1997.</t>
        </is>
      </c>
      <c r="L119" t="inlineStr">
        <is>
          <t>New York : St. Martin's Press, [1972]</t>
        </is>
      </c>
      <c r="M119" t="inlineStr">
        <is>
          <t>1972</t>
        </is>
      </c>
      <c r="O119" t="inlineStr">
        <is>
          <t>eng</t>
        </is>
      </c>
      <c r="P119" t="inlineStr">
        <is>
          <t>nyu</t>
        </is>
      </c>
      <c r="R119" t="inlineStr">
        <is>
          <t xml:space="preserve">NA </t>
        </is>
      </c>
      <c r="S119" t="n">
        <v>5</v>
      </c>
      <c r="T119" t="n">
        <v>5</v>
      </c>
      <c r="U119" t="inlineStr">
        <is>
          <t>1995-02-28</t>
        </is>
      </c>
      <c r="V119" t="inlineStr">
        <is>
          <t>1995-02-28</t>
        </is>
      </c>
      <c r="W119" t="inlineStr">
        <is>
          <t>1992-04-06</t>
        </is>
      </c>
      <c r="X119" t="inlineStr">
        <is>
          <t>1992-04-06</t>
        </is>
      </c>
      <c r="Y119" t="n">
        <v>343</v>
      </c>
      <c r="Z119" t="n">
        <v>325</v>
      </c>
      <c r="AA119" t="n">
        <v>484</v>
      </c>
      <c r="AB119" t="n">
        <v>3</v>
      </c>
      <c r="AC119" t="n">
        <v>5</v>
      </c>
      <c r="AD119" t="n">
        <v>13</v>
      </c>
      <c r="AE119" t="n">
        <v>26</v>
      </c>
      <c r="AF119" t="n">
        <v>5</v>
      </c>
      <c r="AG119" t="n">
        <v>10</v>
      </c>
      <c r="AH119" t="n">
        <v>2</v>
      </c>
      <c r="AI119" t="n">
        <v>5</v>
      </c>
      <c r="AJ119" t="n">
        <v>8</v>
      </c>
      <c r="AK119" t="n">
        <v>12</v>
      </c>
      <c r="AL119" t="n">
        <v>2</v>
      </c>
      <c r="AM119" t="n">
        <v>4</v>
      </c>
      <c r="AN119" t="n">
        <v>0</v>
      </c>
      <c r="AO119" t="n">
        <v>0</v>
      </c>
      <c r="AP119" t="inlineStr">
        <is>
          <t>No</t>
        </is>
      </c>
      <c r="AQ119" t="inlineStr">
        <is>
          <t>Yes</t>
        </is>
      </c>
      <c r="AR119">
        <f>HYPERLINK("http://catalog.hathitrust.org/Record/000409391","HathiTrust Record")</f>
        <v/>
      </c>
      <c r="AS119">
        <f>HYPERLINK("https://creighton-primo.hosted.exlibrisgroup.com/primo-explore/search?tab=default_tab&amp;search_scope=EVERYTHING&amp;vid=01CRU&amp;lang=en_US&amp;offset=0&amp;query=any,contains,991004239759702656","Catalog Record")</f>
        <v/>
      </c>
      <c r="AT119">
        <f>HYPERLINK("http://www.worldcat.org/oclc/2780553","WorldCat Record")</f>
        <v/>
      </c>
      <c r="AU119" t="inlineStr">
        <is>
          <t>119932579:eng</t>
        </is>
      </c>
      <c r="AV119" t="inlineStr">
        <is>
          <t>2780553</t>
        </is>
      </c>
      <c r="AW119" t="inlineStr">
        <is>
          <t>991004239759702656</t>
        </is>
      </c>
      <c r="AX119" t="inlineStr">
        <is>
          <t>991004239759702656</t>
        </is>
      </c>
      <c r="AY119" t="inlineStr">
        <is>
          <t>2262980680002656</t>
        </is>
      </c>
      <c r="AZ119" t="inlineStr">
        <is>
          <t>BOOK</t>
        </is>
      </c>
      <c r="BC119" t="inlineStr">
        <is>
          <t>32285001034585</t>
        </is>
      </c>
      <c r="BD119" t="inlineStr">
        <is>
          <t>893500312</t>
        </is>
      </c>
    </row>
    <row r="120">
      <c r="A120" t="inlineStr">
        <is>
          <t>No</t>
        </is>
      </c>
      <c r="B120" t="inlineStr">
        <is>
          <t>NA350 .S2</t>
        </is>
      </c>
      <c r="C120" t="inlineStr">
        <is>
          <t>0                      NA 0350000S  2</t>
        </is>
      </c>
      <c r="D120" t="inlineStr">
        <is>
          <t>Medieval architecture : European architecture, 600-1200.</t>
        </is>
      </c>
      <c r="F120" t="inlineStr">
        <is>
          <t>No</t>
        </is>
      </c>
      <c r="G120" t="inlineStr">
        <is>
          <t>1</t>
        </is>
      </c>
      <c r="H120" t="inlineStr">
        <is>
          <t>No</t>
        </is>
      </c>
      <c r="I120" t="inlineStr">
        <is>
          <t>No</t>
        </is>
      </c>
      <c r="J120" t="inlineStr">
        <is>
          <t>0</t>
        </is>
      </c>
      <c r="K120" t="inlineStr">
        <is>
          <t>Saalman, Howard.</t>
        </is>
      </c>
      <c r="L120" t="inlineStr">
        <is>
          <t>New York : G. Braziller, 1962.</t>
        </is>
      </c>
      <c r="M120" t="inlineStr">
        <is>
          <t>1962</t>
        </is>
      </c>
      <c r="O120" t="inlineStr">
        <is>
          <t>eng</t>
        </is>
      </c>
      <c r="P120" t="inlineStr">
        <is>
          <t>nyu</t>
        </is>
      </c>
      <c r="Q120" t="inlineStr">
        <is>
          <t>The Great ages of world architecture</t>
        </is>
      </c>
      <c r="R120" t="inlineStr">
        <is>
          <t xml:space="preserve">NA </t>
        </is>
      </c>
      <c r="S120" t="n">
        <v>4</v>
      </c>
      <c r="T120" t="n">
        <v>4</v>
      </c>
      <c r="U120" t="inlineStr">
        <is>
          <t>1998-12-09</t>
        </is>
      </c>
      <c r="V120" t="inlineStr">
        <is>
          <t>1998-12-09</t>
        </is>
      </c>
      <c r="W120" t="inlineStr">
        <is>
          <t>1992-05-13</t>
        </is>
      </c>
      <c r="X120" t="inlineStr">
        <is>
          <t>1992-05-13</t>
        </is>
      </c>
      <c r="Y120" t="n">
        <v>1330</v>
      </c>
      <c r="Z120" t="n">
        <v>1210</v>
      </c>
      <c r="AA120" t="n">
        <v>1313</v>
      </c>
      <c r="AB120" t="n">
        <v>9</v>
      </c>
      <c r="AC120" t="n">
        <v>10</v>
      </c>
      <c r="AD120" t="n">
        <v>37</v>
      </c>
      <c r="AE120" t="n">
        <v>40</v>
      </c>
      <c r="AF120" t="n">
        <v>13</v>
      </c>
      <c r="AG120" t="n">
        <v>15</v>
      </c>
      <c r="AH120" t="n">
        <v>7</v>
      </c>
      <c r="AI120" t="n">
        <v>7</v>
      </c>
      <c r="AJ120" t="n">
        <v>20</v>
      </c>
      <c r="AK120" t="n">
        <v>20</v>
      </c>
      <c r="AL120" t="n">
        <v>6</v>
      </c>
      <c r="AM120" t="n">
        <v>7</v>
      </c>
      <c r="AN120" t="n">
        <v>0</v>
      </c>
      <c r="AO120" t="n">
        <v>0</v>
      </c>
      <c r="AP120" t="inlineStr">
        <is>
          <t>Yes</t>
        </is>
      </c>
      <c r="AQ120" t="inlineStr">
        <is>
          <t>Yes</t>
        </is>
      </c>
      <c r="AR120">
        <f>HYPERLINK("http://catalog.hathitrust.org/Record/000410419","HathiTrust Record")</f>
        <v/>
      </c>
      <c r="AS120">
        <f>HYPERLINK("https://creighton-primo.hosted.exlibrisgroup.com/primo-explore/search?tab=default_tab&amp;search_scope=EVERYTHING&amp;vid=01CRU&amp;lang=en_US&amp;offset=0&amp;query=any,contains,991003428149702656","Catalog Record")</f>
        <v/>
      </c>
      <c r="AT120">
        <f>HYPERLINK("http://www.worldcat.org/oclc/964981","WorldCat Record")</f>
        <v/>
      </c>
      <c r="AU120" t="inlineStr">
        <is>
          <t>464381:eng</t>
        </is>
      </c>
      <c r="AV120" t="inlineStr">
        <is>
          <t>964981</t>
        </is>
      </c>
      <c r="AW120" t="inlineStr">
        <is>
          <t>991003428149702656</t>
        </is>
      </c>
      <c r="AX120" t="inlineStr">
        <is>
          <t>991003428149702656</t>
        </is>
      </c>
      <c r="AY120" t="inlineStr">
        <is>
          <t>2261625680002656</t>
        </is>
      </c>
      <c r="AZ120" t="inlineStr">
        <is>
          <t>BOOK</t>
        </is>
      </c>
      <c r="BC120" t="inlineStr">
        <is>
          <t>32285001108520</t>
        </is>
      </c>
      <c r="BD120" t="inlineStr">
        <is>
          <t>893623469</t>
        </is>
      </c>
    </row>
    <row r="121">
      <c r="A121" t="inlineStr">
        <is>
          <t>No</t>
        </is>
      </c>
      <c r="B121" t="inlineStr">
        <is>
          <t>NA3552.A1 L56 1999</t>
        </is>
      </c>
      <c r="C121" t="inlineStr">
        <is>
          <t>0                      NA 3552000A  1                  L  56          1999</t>
        </is>
      </c>
      <c r="D121" t="inlineStr">
        <is>
          <t>Stuccowork and painting in Roman Italy / Roger Ling.</t>
        </is>
      </c>
      <c r="F121" t="inlineStr">
        <is>
          <t>No</t>
        </is>
      </c>
      <c r="G121" t="inlineStr">
        <is>
          <t>1</t>
        </is>
      </c>
      <c r="H121" t="inlineStr">
        <is>
          <t>No</t>
        </is>
      </c>
      <c r="I121" t="inlineStr">
        <is>
          <t>No</t>
        </is>
      </c>
      <c r="J121" t="inlineStr">
        <is>
          <t>0</t>
        </is>
      </c>
      <c r="K121" t="inlineStr">
        <is>
          <t>Ling, Roger.</t>
        </is>
      </c>
      <c r="L121" t="inlineStr">
        <is>
          <t>Brookfield, VT : Ashgate, 1999.</t>
        </is>
      </c>
      <c r="M121" t="inlineStr">
        <is>
          <t>1999</t>
        </is>
      </c>
      <c r="O121" t="inlineStr">
        <is>
          <t>eng</t>
        </is>
      </c>
      <c r="P121" t="inlineStr">
        <is>
          <t>vtu</t>
        </is>
      </c>
      <c r="Q121" t="inlineStr">
        <is>
          <t>Variorum collected studies series ; CS649</t>
        </is>
      </c>
      <c r="R121" t="inlineStr">
        <is>
          <t xml:space="preserve">NA </t>
        </is>
      </c>
      <c r="S121" t="n">
        <v>2</v>
      </c>
      <c r="T121" t="n">
        <v>2</v>
      </c>
      <c r="U121" t="inlineStr">
        <is>
          <t>2009-12-03</t>
        </is>
      </c>
      <c r="V121" t="inlineStr">
        <is>
          <t>2009-12-03</t>
        </is>
      </c>
      <c r="W121" t="inlineStr">
        <is>
          <t>2000-01-12</t>
        </is>
      </c>
      <c r="X121" t="inlineStr">
        <is>
          <t>2000-01-12</t>
        </is>
      </c>
      <c r="Y121" t="n">
        <v>145</v>
      </c>
      <c r="Z121" t="n">
        <v>112</v>
      </c>
      <c r="AA121" t="n">
        <v>122</v>
      </c>
      <c r="AB121" t="n">
        <v>2</v>
      </c>
      <c r="AC121" t="n">
        <v>2</v>
      </c>
      <c r="AD121" t="n">
        <v>6</v>
      </c>
      <c r="AE121" t="n">
        <v>6</v>
      </c>
      <c r="AF121" t="n">
        <v>3</v>
      </c>
      <c r="AG121" t="n">
        <v>3</v>
      </c>
      <c r="AH121" t="n">
        <v>0</v>
      </c>
      <c r="AI121" t="n">
        <v>0</v>
      </c>
      <c r="AJ121" t="n">
        <v>5</v>
      </c>
      <c r="AK121" t="n">
        <v>5</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HYPERLINK("https://creighton-primo.hosted.exlibrisgroup.com/primo-explore/search?tab=default_tab&amp;search_scope=EVERYTHING&amp;vid=01CRU&amp;lang=en_US&amp;offset=0&amp;query=any,contains,991003001669702656","Catalog Record")</f>
        <v/>
      </c>
      <c r="AT121">
        <f>HYPERLINK("http://www.worldcat.org/oclc/40668231","WorldCat Record")</f>
        <v/>
      </c>
      <c r="AU121" t="inlineStr">
        <is>
          <t>23638006:eng</t>
        </is>
      </c>
      <c r="AV121" t="inlineStr">
        <is>
          <t>40668231</t>
        </is>
      </c>
      <c r="AW121" t="inlineStr">
        <is>
          <t>991003001669702656</t>
        </is>
      </c>
      <c r="AX121" t="inlineStr">
        <is>
          <t>991003001669702656</t>
        </is>
      </c>
      <c r="AY121" t="inlineStr">
        <is>
          <t>2255082180002656</t>
        </is>
      </c>
      <c r="AZ121" t="inlineStr">
        <is>
          <t>BOOK</t>
        </is>
      </c>
      <c r="BB121" t="inlineStr">
        <is>
          <t>9780860787860</t>
        </is>
      </c>
      <c r="BC121" t="inlineStr">
        <is>
          <t>32285003640843</t>
        </is>
      </c>
      <c r="BD121" t="inlineStr">
        <is>
          <t>893329838</t>
        </is>
      </c>
    </row>
    <row r="122">
      <c r="A122" t="inlineStr">
        <is>
          <t>No</t>
        </is>
      </c>
      <c r="B122" t="inlineStr">
        <is>
          <t>NA360 .M3</t>
        </is>
      </c>
      <c r="C122" t="inlineStr">
        <is>
          <t>0                      NA 0360000M  3</t>
        </is>
      </c>
      <c r="D122" t="inlineStr">
        <is>
          <t>Early Christian &amp; Byzantine architecture.</t>
        </is>
      </c>
      <c r="F122" t="inlineStr">
        <is>
          <t>No</t>
        </is>
      </c>
      <c r="G122" t="inlineStr">
        <is>
          <t>1</t>
        </is>
      </c>
      <c r="H122" t="inlineStr">
        <is>
          <t>No</t>
        </is>
      </c>
      <c r="I122" t="inlineStr">
        <is>
          <t>No</t>
        </is>
      </c>
      <c r="J122" t="inlineStr">
        <is>
          <t>0</t>
        </is>
      </c>
      <c r="K122" t="inlineStr">
        <is>
          <t>MacDonald, William L. (William Lloyd), 1921-</t>
        </is>
      </c>
      <c r="L122" t="inlineStr">
        <is>
          <t>New York, G. Braziller, 1962.</t>
        </is>
      </c>
      <c r="M122" t="inlineStr">
        <is>
          <t>1962</t>
        </is>
      </c>
      <c r="O122" t="inlineStr">
        <is>
          <t>eng</t>
        </is>
      </c>
      <c r="P122" t="inlineStr">
        <is>
          <t>nyu</t>
        </is>
      </c>
      <c r="Q122" t="inlineStr">
        <is>
          <t>The Great ages of world architecture</t>
        </is>
      </c>
      <c r="R122" t="inlineStr">
        <is>
          <t xml:space="preserve">NA </t>
        </is>
      </c>
      <c r="S122" t="n">
        <v>1</v>
      </c>
      <c r="T122" t="n">
        <v>1</v>
      </c>
      <c r="U122" t="inlineStr">
        <is>
          <t>2009-09-04</t>
        </is>
      </c>
      <c r="V122" t="inlineStr">
        <is>
          <t>2009-09-04</t>
        </is>
      </c>
      <c r="W122" t="inlineStr">
        <is>
          <t>1997-09-10</t>
        </is>
      </c>
      <c r="X122" t="inlineStr">
        <is>
          <t>1997-09-10</t>
        </is>
      </c>
      <c r="Y122" t="n">
        <v>1413</v>
      </c>
      <c r="Z122" t="n">
        <v>1292</v>
      </c>
      <c r="AA122" t="n">
        <v>1360</v>
      </c>
      <c r="AB122" t="n">
        <v>9</v>
      </c>
      <c r="AC122" t="n">
        <v>9</v>
      </c>
      <c r="AD122" t="n">
        <v>48</v>
      </c>
      <c r="AE122" t="n">
        <v>51</v>
      </c>
      <c r="AF122" t="n">
        <v>20</v>
      </c>
      <c r="AG122" t="n">
        <v>21</v>
      </c>
      <c r="AH122" t="n">
        <v>9</v>
      </c>
      <c r="AI122" t="n">
        <v>9</v>
      </c>
      <c r="AJ122" t="n">
        <v>20</v>
      </c>
      <c r="AK122" t="n">
        <v>22</v>
      </c>
      <c r="AL122" t="n">
        <v>8</v>
      </c>
      <c r="AM122" t="n">
        <v>8</v>
      </c>
      <c r="AN122" t="n">
        <v>0</v>
      </c>
      <c r="AO122" t="n">
        <v>0</v>
      </c>
      <c r="AP122" t="inlineStr">
        <is>
          <t>Yes</t>
        </is>
      </c>
      <c r="AQ122" t="inlineStr">
        <is>
          <t>No</t>
        </is>
      </c>
      <c r="AR122">
        <f>HYPERLINK("http://catalog.hathitrust.org/Record/000409990","HathiTrust Record")</f>
        <v/>
      </c>
      <c r="AS122">
        <f>HYPERLINK("https://creighton-primo.hosted.exlibrisgroup.com/primo-explore/search?tab=default_tab&amp;search_scope=EVERYTHING&amp;vid=01CRU&amp;lang=en_US&amp;offset=0&amp;query=any,contains,991002892779702656","Catalog Record")</f>
        <v/>
      </c>
      <c r="AT122">
        <f>HYPERLINK("http://www.worldcat.org/oclc/512456","WorldCat Record")</f>
        <v/>
      </c>
      <c r="AU122" t="inlineStr">
        <is>
          <t>4918317714:eng</t>
        </is>
      </c>
      <c r="AV122" t="inlineStr">
        <is>
          <t>512456</t>
        </is>
      </c>
      <c r="AW122" t="inlineStr">
        <is>
          <t>991002892779702656</t>
        </is>
      </c>
      <c r="AX122" t="inlineStr">
        <is>
          <t>991002892779702656</t>
        </is>
      </c>
      <c r="AY122" t="inlineStr">
        <is>
          <t>2263287620002656</t>
        </is>
      </c>
      <c r="AZ122" t="inlineStr">
        <is>
          <t>BOOK</t>
        </is>
      </c>
      <c r="BC122" t="inlineStr">
        <is>
          <t>32285003170122</t>
        </is>
      </c>
      <c r="BD122" t="inlineStr">
        <is>
          <t>893440656</t>
        </is>
      </c>
    </row>
    <row r="123">
      <c r="A123" t="inlineStr">
        <is>
          <t>No</t>
        </is>
      </c>
      <c r="B123" t="inlineStr">
        <is>
          <t>NA3750 .D37 1985</t>
        </is>
      </c>
      <c r="C123" t="inlineStr">
        <is>
          <t>0                      NA 3750000D  37          1985</t>
        </is>
      </c>
      <c r="D123" t="inlineStr">
        <is>
          <t>Dionysos der Erlöser : Griechische Mythen im spätantiken Cypern / Wiktor A. Daszewski.</t>
        </is>
      </c>
      <c r="F123" t="inlineStr">
        <is>
          <t>No</t>
        </is>
      </c>
      <c r="G123" t="inlineStr">
        <is>
          <t>1</t>
        </is>
      </c>
      <c r="H123" t="inlineStr">
        <is>
          <t>No</t>
        </is>
      </c>
      <c r="I123" t="inlineStr">
        <is>
          <t>No</t>
        </is>
      </c>
      <c r="J123" t="inlineStr">
        <is>
          <t>0</t>
        </is>
      </c>
      <c r="K123" t="inlineStr">
        <is>
          <t>Daszewski, Wiktor Andrzej.</t>
        </is>
      </c>
      <c r="L123" t="inlineStr">
        <is>
          <t>Mainz am Rhein : Philipp von Zabern, 1985.</t>
        </is>
      </c>
      <c r="M123" t="inlineStr">
        <is>
          <t>1985</t>
        </is>
      </c>
      <c r="O123" t="inlineStr">
        <is>
          <t>ger</t>
        </is>
      </c>
      <c r="P123" t="inlineStr">
        <is>
          <t xml:space="preserve">gw </t>
        </is>
      </c>
      <c r="Q123" t="inlineStr">
        <is>
          <t>Trierer Beiträge zur Altertumskunde ; Bd. 2</t>
        </is>
      </c>
      <c r="R123" t="inlineStr">
        <is>
          <t xml:space="preserve">NA </t>
        </is>
      </c>
      <c r="S123" t="n">
        <v>0</v>
      </c>
      <c r="T123" t="n">
        <v>0</v>
      </c>
      <c r="U123" t="inlineStr">
        <is>
          <t>2002-11-11</t>
        </is>
      </c>
      <c r="V123" t="inlineStr">
        <is>
          <t>2002-11-11</t>
        </is>
      </c>
      <c r="W123" t="inlineStr">
        <is>
          <t>1993-05-14</t>
        </is>
      </c>
      <c r="X123" t="inlineStr">
        <is>
          <t>1993-05-14</t>
        </is>
      </c>
      <c r="Y123" t="n">
        <v>125</v>
      </c>
      <c r="Z123" t="n">
        <v>67</v>
      </c>
      <c r="AA123" t="n">
        <v>69</v>
      </c>
      <c r="AB123" t="n">
        <v>2</v>
      </c>
      <c r="AC123" t="n">
        <v>2</v>
      </c>
      <c r="AD123" t="n">
        <v>2</v>
      </c>
      <c r="AE123" t="n">
        <v>2</v>
      </c>
      <c r="AF123" t="n">
        <v>0</v>
      </c>
      <c r="AG123" t="n">
        <v>0</v>
      </c>
      <c r="AH123" t="n">
        <v>0</v>
      </c>
      <c r="AI123" t="n">
        <v>0</v>
      </c>
      <c r="AJ123" t="n">
        <v>1</v>
      </c>
      <c r="AK123" t="n">
        <v>1</v>
      </c>
      <c r="AL123" t="n">
        <v>1</v>
      </c>
      <c r="AM123" t="n">
        <v>1</v>
      </c>
      <c r="AN123" t="n">
        <v>0</v>
      </c>
      <c r="AO123" t="n">
        <v>0</v>
      </c>
      <c r="AP123" t="inlineStr">
        <is>
          <t>No</t>
        </is>
      </c>
      <c r="AQ123" t="inlineStr">
        <is>
          <t>Yes</t>
        </is>
      </c>
      <c r="AR123">
        <f>HYPERLINK("http://catalog.hathitrust.org/Record/000379589","HathiTrust Record")</f>
        <v/>
      </c>
      <c r="AS123">
        <f>HYPERLINK("https://creighton-primo.hosted.exlibrisgroup.com/primo-explore/search?tab=default_tab&amp;search_scope=EVERYTHING&amp;vid=01CRU&amp;lang=en_US&amp;offset=0&amp;query=any,contains,991000825239702656","Catalog Record")</f>
        <v/>
      </c>
      <c r="AT123">
        <f>HYPERLINK("http://www.worldcat.org/oclc/14167021","WorldCat Record")</f>
        <v/>
      </c>
      <c r="AU123" t="inlineStr">
        <is>
          <t>197118083:ger</t>
        </is>
      </c>
      <c r="AV123" t="inlineStr">
        <is>
          <t>14167021</t>
        </is>
      </c>
      <c r="AW123" t="inlineStr">
        <is>
          <t>991000825239702656</t>
        </is>
      </c>
      <c r="AX123" t="inlineStr">
        <is>
          <t>991000825239702656</t>
        </is>
      </c>
      <c r="AY123" t="inlineStr">
        <is>
          <t>2268875410002656</t>
        </is>
      </c>
      <c r="AZ123" t="inlineStr">
        <is>
          <t>BOOK</t>
        </is>
      </c>
      <c r="BB123" t="inlineStr">
        <is>
          <t>9783805308472</t>
        </is>
      </c>
      <c r="BC123" t="inlineStr">
        <is>
          <t>32285001657914</t>
        </is>
      </c>
      <c r="BD123" t="inlineStr">
        <is>
          <t>893772006</t>
        </is>
      </c>
    </row>
    <row r="124">
      <c r="A124" t="inlineStr">
        <is>
          <t>No</t>
        </is>
      </c>
      <c r="B124" t="inlineStr">
        <is>
          <t>NA3750 .H43</t>
        </is>
      </c>
      <c r="C124" t="inlineStr">
        <is>
          <t>0                      NA 3750000H  43</t>
        </is>
      </c>
      <c r="D124" t="inlineStr">
        <is>
          <t>Mosaics.</t>
        </is>
      </c>
      <c r="F124" t="inlineStr">
        <is>
          <t>No</t>
        </is>
      </c>
      <c r="G124" t="inlineStr">
        <is>
          <t>1</t>
        </is>
      </c>
      <c r="H124" t="inlineStr">
        <is>
          <t>No</t>
        </is>
      </c>
      <c r="I124" t="inlineStr">
        <is>
          <t>No</t>
        </is>
      </c>
      <c r="J124" t="inlineStr">
        <is>
          <t>0</t>
        </is>
      </c>
      <c r="K124" t="inlineStr">
        <is>
          <t>Hetherington, Paul.</t>
        </is>
      </c>
      <c r="L124" t="inlineStr">
        <is>
          <t>London : Hamlyn, [1967]</t>
        </is>
      </c>
      <c r="M124" t="inlineStr">
        <is>
          <t>1967</t>
        </is>
      </c>
      <c r="O124" t="inlineStr">
        <is>
          <t>eng</t>
        </is>
      </c>
      <c r="P124" t="inlineStr">
        <is>
          <t>enk</t>
        </is>
      </c>
      <c r="Q124" t="inlineStr">
        <is>
          <t>The Colour library of art</t>
        </is>
      </c>
      <c r="R124" t="inlineStr">
        <is>
          <t xml:space="preserve">NA </t>
        </is>
      </c>
      <c r="S124" t="n">
        <v>2</v>
      </c>
      <c r="T124" t="n">
        <v>2</v>
      </c>
      <c r="U124" t="inlineStr">
        <is>
          <t>2007-03-08</t>
        </is>
      </c>
      <c r="V124" t="inlineStr">
        <is>
          <t>2007-03-08</t>
        </is>
      </c>
      <c r="W124" t="inlineStr">
        <is>
          <t>1994-05-24</t>
        </is>
      </c>
      <c r="X124" t="inlineStr">
        <is>
          <t>1994-05-24</t>
        </is>
      </c>
      <c r="Y124" t="n">
        <v>526</v>
      </c>
      <c r="Z124" t="n">
        <v>464</v>
      </c>
      <c r="AA124" t="n">
        <v>519</v>
      </c>
      <c r="AB124" t="n">
        <v>6</v>
      </c>
      <c r="AC124" t="n">
        <v>6</v>
      </c>
      <c r="AD124" t="n">
        <v>17</v>
      </c>
      <c r="AE124" t="n">
        <v>19</v>
      </c>
      <c r="AF124" t="n">
        <v>4</v>
      </c>
      <c r="AG124" t="n">
        <v>5</v>
      </c>
      <c r="AH124" t="n">
        <v>5</v>
      </c>
      <c r="AI124" t="n">
        <v>6</v>
      </c>
      <c r="AJ124" t="n">
        <v>9</v>
      </c>
      <c r="AK124" t="n">
        <v>10</v>
      </c>
      <c r="AL124" t="n">
        <v>2</v>
      </c>
      <c r="AM124" t="n">
        <v>2</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HYPERLINK("https://creighton-primo.hosted.exlibrisgroup.com/primo-explore/search?tab=default_tab&amp;search_scope=EVERYTHING&amp;vid=01CRU&amp;lang=en_US&amp;offset=0&amp;query=any,contains,991002901129702656","Catalog Record")</f>
        <v/>
      </c>
      <c r="AT124">
        <f>HYPERLINK("http://www.worldcat.org/oclc/517325","WorldCat Record")</f>
        <v/>
      </c>
      <c r="AU124" t="inlineStr">
        <is>
          <t>1504403:eng</t>
        </is>
      </c>
      <c r="AV124" t="inlineStr">
        <is>
          <t>517325</t>
        </is>
      </c>
      <c r="AW124" t="inlineStr">
        <is>
          <t>991002901129702656</t>
        </is>
      </c>
      <c r="AX124" t="inlineStr">
        <is>
          <t>991002901129702656</t>
        </is>
      </c>
      <c r="AY124" t="inlineStr">
        <is>
          <t>2255104600002656</t>
        </is>
      </c>
      <c r="AZ124" t="inlineStr">
        <is>
          <t>BOOK</t>
        </is>
      </c>
      <c r="BC124" t="inlineStr">
        <is>
          <t>32285001913283</t>
        </is>
      </c>
      <c r="BD124" t="inlineStr">
        <is>
          <t>893335875</t>
        </is>
      </c>
    </row>
    <row r="125">
      <c r="A125" t="inlineStr">
        <is>
          <t>No</t>
        </is>
      </c>
      <c r="B125" t="inlineStr">
        <is>
          <t>NA3750 .J4</t>
        </is>
      </c>
      <c r="C125" t="inlineStr">
        <is>
          <t>0                      NA 3750000J  4</t>
        </is>
      </c>
      <c r="D125" t="inlineStr">
        <is>
          <t>The art of making mosaics, by Louisa Jenkins and Barbara Mills.</t>
        </is>
      </c>
      <c r="F125" t="inlineStr">
        <is>
          <t>No</t>
        </is>
      </c>
      <c r="G125" t="inlineStr">
        <is>
          <t>1</t>
        </is>
      </c>
      <c r="H125" t="inlineStr">
        <is>
          <t>No</t>
        </is>
      </c>
      <c r="I125" t="inlineStr">
        <is>
          <t>No</t>
        </is>
      </c>
      <c r="J125" t="inlineStr">
        <is>
          <t>0</t>
        </is>
      </c>
      <c r="K125" t="inlineStr">
        <is>
          <t>Jenkins, Louisa.</t>
        </is>
      </c>
      <c r="L125" t="inlineStr">
        <is>
          <t>Princeton, N.J., Van Nostrand [1957]</t>
        </is>
      </c>
      <c r="M125" t="inlineStr">
        <is>
          <t>1957</t>
        </is>
      </c>
      <c r="O125" t="inlineStr">
        <is>
          <t>eng</t>
        </is>
      </c>
      <c r="P125" t="inlineStr">
        <is>
          <t>nju</t>
        </is>
      </c>
      <c r="R125" t="inlineStr">
        <is>
          <t xml:space="preserve">NA </t>
        </is>
      </c>
      <c r="S125" t="n">
        <v>2</v>
      </c>
      <c r="T125" t="n">
        <v>2</v>
      </c>
      <c r="U125" t="inlineStr">
        <is>
          <t>2005-03-01</t>
        </is>
      </c>
      <c r="V125" t="inlineStr">
        <is>
          <t>2005-03-01</t>
        </is>
      </c>
      <c r="W125" t="inlineStr">
        <is>
          <t>1997-07-01</t>
        </is>
      </c>
      <c r="X125" t="inlineStr">
        <is>
          <t>1997-07-01</t>
        </is>
      </c>
      <c r="Y125" t="n">
        <v>452</v>
      </c>
      <c r="Z125" t="n">
        <v>414</v>
      </c>
      <c r="AA125" t="n">
        <v>493</v>
      </c>
      <c r="AB125" t="n">
        <v>5</v>
      </c>
      <c r="AC125" t="n">
        <v>6</v>
      </c>
      <c r="AD125" t="n">
        <v>14</v>
      </c>
      <c r="AE125" t="n">
        <v>15</v>
      </c>
      <c r="AF125" t="n">
        <v>7</v>
      </c>
      <c r="AG125" t="n">
        <v>7</v>
      </c>
      <c r="AH125" t="n">
        <v>1</v>
      </c>
      <c r="AI125" t="n">
        <v>1</v>
      </c>
      <c r="AJ125" t="n">
        <v>6</v>
      </c>
      <c r="AK125" t="n">
        <v>7</v>
      </c>
      <c r="AL125" t="n">
        <v>4</v>
      </c>
      <c r="AM125" t="n">
        <v>4</v>
      </c>
      <c r="AN125" t="n">
        <v>0</v>
      </c>
      <c r="AO125" t="n">
        <v>0</v>
      </c>
      <c r="AP125" t="inlineStr">
        <is>
          <t>No</t>
        </is>
      </c>
      <c r="AQ125" t="inlineStr">
        <is>
          <t>No</t>
        </is>
      </c>
      <c r="AR125">
        <f>HYPERLINK("http://catalog.hathitrust.org/Record/007472322","HathiTrust Record")</f>
        <v/>
      </c>
      <c r="AS125">
        <f>HYPERLINK("https://creighton-primo.hosted.exlibrisgroup.com/primo-explore/search?tab=default_tab&amp;search_scope=EVERYTHING&amp;vid=01CRU&amp;lang=en_US&amp;offset=0&amp;query=any,contains,991002904449702656","Catalog Record")</f>
        <v/>
      </c>
      <c r="AT125">
        <f>HYPERLINK("http://www.worldcat.org/oclc/518799","WorldCat Record")</f>
        <v/>
      </c>
      <c r="AU125" t="inlineStr">
        <is>
          <t>1509934:eng</t>
        </is>
      </c>
      <c r="AV125" t="inlineStr">
        <is>
          <t>518799</t>
        </is>
      </c>
      <c r="AW125" t="inlineStr">
        <is>
          <t>991002904449702656</t>
        </is>
      </c>
      <c r="AX125" t="inlineStr">
        <is>
          <t>991002904449702656</t>
        </is>
      </c>
      <c r="AY125" t="inlineStr">
        <is>
          <t>2255942440002656</t>
        </is>
      </c>
      <c r="AZ125" t="inlineStr">
        <is>
          <t>BOOK</t>
        </is>
      </c>
      <c r="BC125" t="inlineStr">
        <is>
          <t>32285002862372</t>
        </is>
      </c>
      <c r="BD125" t="inlineStr">
        <is>
          <t>893893155</t>
        </is>
      </c>
    </row>
    <row r="126">
      <c r="A126" t="inlineStr">
        <is>
          <t>No</t>
        </is>
      </c>
      <c r="B126" t="inlineStr">
        <is>
          <t>NA3750 .L64 1967</t>
        </is>
      </c>
      <c r="C126" t="inlineStr">
        <is>
          <t>0                      NA 3750000L  64          1967</t>
        </is>
      </c>
      <c r="D126" t="inlineStr">
        <is>
          <t>Modern mosaic techniques / by Janice Lovoos and Felice Paramore.</t>
        </is>
      </c>
      <c r="F126" t="inlineStr">
        <is>
          <t>No</t>
        </is>
      </c>
      <c r="G126" t="inlineStr">
        <is>
          <t>1</t>
        </is>
      </c>
      <c r="H126" t="inlineStr">
        <is>
          <t>No</t>
        </is>
      </c>
      <c r="I126" t="inlineStr">
        <is>
          <t>No</t>
        </is>
      </c>
      <c r="J126" t="inlineStr">
        <is>
          <t>0</t>
        </is>
      </c>
      <c r="K126" t="inlineStr">
        <is>
          <t>Lovoos, Janice.</t>
        </is>
      </c>
      <c r="L126" t="inlineStr">
        <is>
          <t>New York : Watson-Guptill Publications, [1967]</t>
        </is>
      </c>
      <c r="M126" t="inlineStr">
        <is>
          <t>1967</t>
        </is>
      </c>
      <c r="O126" t="inlineStr">
        <is>
          <t>eng</t>
        </is>
      </c>
      <c r="P126" t="inlineStr">
        <is>
          <t>nyu</t>
        </is>
      </c>
      <c r="R126" t="inlineStr">
        <is>
          <t xml:space="preserve">NA </t>
        </is>
      </c>
      <c r="S126" t="n">
        <v>5</v>
      </c>
      <c r="T126" t="n">
        <v>5</v>
      </c>
      <c r="U126" t="inlineStr">
        <is>
          <t>2000-02-24</t>
        </is>
      </c>
      <c r="V126" t="inlineStr">
        <is>
          <t>2000-02-24</t>
        </is>
      </c>
      <c r="W126" t="inlineStr">
        <is>
          <t>1993-05-14</t>
        </is>
      </c>
      <c r="X126" t="inlineStr">
        <is>
          <t>1993-05-14</t>
        </is>
      </c>
      <c r="Y126" t="n">
        <v>664</v>
      </c>
      <c r="Z126" t="n">
        <v>619</v>
      </c>
      <c r="AA126" t="n">
        <v>639</v>
      </c>
      <c r="AB126" t="n">
        <v>6</v>
      </c>
      <c r="AC126" t="n">
        <v>6</v>
      </c>
      <c r="AD126" t="n">
        <v>10</v>
      </c>
      <c r="AE126" t="n">
        <v>10</v>
      </c>
      <c r="AF126" t="n">
        <v>4</v>
      </c>
      <c r="AG126" t="n">
        <v>4</v>
      </c>
      <c r="AH126" t="n">
        <v>1</v>
      </c>
      <c r="AI126" t="n">
        <v>1</v>
      </c>
      <c r="AJ126" t="n">
        <v>4</v>
      </c>
      <c r="AK126" t="n">
        <v>4</v>
      </c>
      <c r="AL126" t="n">
        <v>3</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HYPERLINK("https://creighton-primo.hosted.exlibrisgroup.com/primo-explore/search?tab=default_tab&amp;search_scope=EVERYTHING&amp;vid=01CRU&amp;lang=en_US&amp;offset=0&amp;query=any,contains,991003023129702656","Catalog Record")</f>
        <v/>
      </c>
      <c r="AT126">
        <f>HYPERLINK("http://www.worldcat.org/oclc/588028","WorldCat Record")</f>
        <v/>
      </c>
      <c r="AU126" t="inlineStr">
        <is>
          <t>1759806:eng</t>
        </is>
      </c>
      <c r="AV126" t="inlineStr">
        <is>
          <t>588028</t>
        </is>
      </c>
      <c r="AW126" t="inlineStr">
        <is>
          <t>991003023129702656</t>
        </is>
      </c>
      <c r="AX126" t="inlineStr">
        <is>
          <t>991003023129702656</t>
        </is>
      </c>
      <c r="AY126" t="inlineStr">
        <is>
          <t>2270241220002656</t>
        </is>
      </c>
      <c r="AZ126" t="inlineStr">
        <is>
          <t>BOOK</t>
        </is>
      </c>
      <c r="BC126" t="inlineStr">
        <is>
          <t>32285001657922</t>
        </is>
      </c>
      <c r="BD126" t="inlineStr">
        <is>
          <t>893904215</t>
        </is>
      </c>
    </row>
    <row r="127">
      <c r="A127" t="inlineStr">
        <is>
          <t>No</t>
        </is>
      </c>
      <c r="B127" t="inlineStr">
        <is>
          <t>NA3760 .U5</t>
        </is>
      </c>
      <c r="C127" t="inlineStr">
        <is>
          <t>0                      NA 3760000U  5</t>
        </is>
      </c>
      <c r="D127" t="inlineStr">
        <is>
          <t>Tunisia: ancient mosaics. Pref. [by] Giacomo Caputo. Introd. [by] Abdelaziz Driss.</t>
        </is>
      </c>
      <c r="F127" t="inlineStr">
        <is>
          <t>No</t>
        </is>
      </c>
      <c r="G127" t="inlineStr">
        <is>
          <t>1</t>
        </is>
      </c>
      <c r="H127" t="inlineStr">
        <is>
          <t>No</t>
        </is>
      </c>
      <c r="I127" t="inlineStr">
        <is>
          <t>No</t>
        </is>
      </c>
      <c r="J127" t="inlineStr">
        <is>
          <t>0</t>
        </is>
      </c>
      <c r="K127" t="inlineStr">
        <is>
          <t>Unesco.</t>
        </is>
      </c>
      <c r="L127" t="inlineStr">
        <is>
          <t>[Greenwich, Conn.] New York Graphic Society [1962]</t>
        </is>
      </c>
      <c r="M127" t="inlineStr">
        <is>
          <t>1962</t>
        </is>
      </c>
      <c r="O127" t="inlineStr">
        <is>
          <t>eng</t>
        </is>
      </c>
      <c r="P127" t="inlineStr">
        <is>
          <t>ctu</t>
        </is>
      </c>
      <c r="Q127" t="inlineStr">
        <is>
          <t>UNESCO world art series ; 18</t>
        </is>
      </c>
      <c r="R127" t="inlineStr">
        <is>
          <t xml:space="preserve">NA </t>
        </is>
      </c>
      <c r="S127" t="n">
        <v>2</v>
      </c>
      <c r="T127" t="n">
        <v>2</v>
      </c>
      <c r="U127" t="inlineStr">
        <is>
          <t>2007-03-08</t>
        </is>
      </c>
      <c r="V127" t="inlineStr">
        <is>
          <t>2007-03-08</t>
        </is>
      </c>
      <c r="W127" t="inlineStr">
        <is>
          <t>1997-07-01</t>
        </is>
      </c>
      <c r="X127" t="inlineStr">
        <is>
          <t>1997-07-01</t>
        </is>
      </c>
      <c r="Y127" t="n">
        <v>525</v>
      </c>
      <c r="Z127" t="n">
        <v>453</v>
      </c>
      <c r="AA127" t="n">
        <v>464</v>
      </c>
      <c r="AB127" t="n">
        <v>3</v>
      </c>
      <c r="AC127" t="n">
        <v>3</v>
      </c>
      <c r="AD127" t="n">
        <v>12</v>
      </c>
      <c r="AE127" t="n">
        <v>12</v>
      </c>
      <c r="AF127" t="n">
        <v>3</v>
      </c>
      <c r="AG127" t="n">
        <v>3</v>
      </c>
      <c r="AH127" t="n">
        <v>3</v>
      </c>
      <c r="AI127" t="n">
        <v>3</v>
      </c>
      <c r="AJ127" t="n">
        <v>5</v>
      </c>
      <c r="AK127" t="n">
        <v>5</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HYPERLINK("https://creighton-primo.hosted.exlibrisgroup.com/primo-explore/search?tab=default_tab&amp;search_scope=EVERYTHING&amp;vid=01CRU&amp;lang=en_US&amp;offset=0&amp;query=any,contains,991002404019702656","Catalog Record")</f>
        <v/>
      </c>
      <c r="AT127">
        <f>HYPERLINK("http://www.worldcat.org/oclc/338284","WorldCat Record")</f>
        <v/>
      </c>
      <c r="AU127" t="inlineStr">
        <is>
          <t>308431316:eng</t>
        </is>
      </c>
      <c r="AV127" t="inlineStr">
        <is>
          <t>338284</t>
        </is>
      </c>
      <c r="AW127" t="inlineStr">
        <is>
          <t>991002404019702656</t>
        </is>
      </c>
      <c r="AX127" t="inlineStr">
        <is>
          <t>991002404019702656</t>
        </is>
      </c>
      <c r="AY127" t="inlineStr">
        <is>
          <t>2257051100002656</t>
        </is>
      </c>
      <c r="AZ127" t="inlineStr">
        <is>
          <t>BOOK</t>
        </is>
      </c>
      <c r="BC127" t="inlineStr">
        <is>
          <t>32285002862398</t>
        </is>
      </c>
      <c r="BD127" t="inlineStr">
        <is>
          <t>893886234</t>
        </is>
      </c>
    </row>
    <row r="128">
      <c r="A128" t="inlineStr">
        <is>
          <t>No</t>
        </is>
      </c>
      <c r="B128" t="inlineStr">
        <is>
          <t>NA3770 .C52</t>
        </is>
      </c>
      <c r="C128" t="inlineStr">
        <is>
          <t>0                      NA 3770000C  52</t>
        </is>
      </c>
      <c r="D128" t="inlineStr">
        <is>
          <t>Roman black-and-white figural mosaics / John R. Clarke.</t>
        </is>
      </c>
      <c r="F128" t="inlineStr">
        <is>
          <t>No</t>
        </is>
      </c>
      <c r="G128" t="inlineStr">
        <is>
          <t>1</t>
        </is>
      </c>
      <c r="H128" t="inlineStr">
        <is>
          <t>No</t>
        </is>
      </c>
      <c r="I128" t="inlineStr">
        <is>
          <t>No</t>
        </is>
      </c>
      <c r="J128" t="inlineStr">
        <is>
          <t>0</t>
        </is>
      </c>
      <c r="K128" t="inlineStr">
        <is>
          <t>Clarke, John R., 1945-</t>
        </is>
      </c>
      <c r="L128" t="inlineStr">
        <is>
          <t>New York : Published by New York University Press for the College Art Association of America, 1979.</t>
        </is>
      </c>
      <c r="M128" t="inlineStr">
        <is>
          <t>1979</t>
        </is>
      </c>
      <c r="O128" t="inlineStr">
        <is>
          <t>eng</t>
        </is>
      </c>
      <c r="P128" t="inlineStr">
        <is>
          <t>nyu</t>
        </is>
      </c>
      <c r="Q128" t="inlineStr">
        <is>
          <t>Monographs on archaeology and fine arts ; 35</t>
        </is>
      </c>
      <c r="R128" t="inlineStr">
        <is>
          <t xml:space="preserve">NA </t>
        </is>
      </c>
      <c r="S128" t="n">
        <v>6</v>
      </c>
      <c r="T128" t="n">
        <v>6</v>
      </c>
      <c r="U128" t="inlineStr">
        <is>
          <t>2007-03-08</t>
        </is>
      </c>
      <c r="V128" t="inlineStr">
        <is>
          <t>2007-03-08</t>
        </is>
      </c>
      <c r="W128" t="inlineStr">
        <is>
          <t>1993-05-14</t>
        </is>
      </c>
      <c r="X128" t="inlineStr">
        <is>
          <t>1993-05-14</t>
        </is>
      </c>
      <c r="Y128" t="n">
        <v>364</v>
      </c>
      <c r="Z128" t="n">
        <v>274</v>
      </c>
      <c r="AA128" t="n">
        <v>282</v>
      </c>
      <c r="AB128" t="n">
        <v>2</v>
      </c>
      <c r="AC128" t="n">
        <v>2</v>
      </c>
      <c r="AD128" t="n">
        <v>11</v>
      </c>
      <c r="AE128" t="n">
        <v>13</v>
      </c>
      <c r="AF128" t="n">
        <v>3</v>
      </c>
      <c r="AG128" t="n">
        <v>3</v>
      </c>
      <c r="AH128" t="n">
        <v>2</v>
      </c>
      <c r="AI128" t="n">
        <v>3</v>
      </c>
      <c r="AJ128" t="n">
        <v>8</v>
      </c>
      <c r="AK128" t="n">
        <v>10</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HYPERLINK("https://creighton-primo.hosted.exlibrisgroup.com/primo-explore/search?tab=default_tab&amp;search_scope=EVERYTHING&amp;vid=01CRU&amp;lang=en_US&amp;offset=0&amp;query=any,contains,991004764869702656","Catalog Record")</f>
        <v/>
      </c>
      <c r="AT128">
        <f>HYPERLINK("http://www.worldcat.org/oclc/5028608","WorldCat Record")</f>
        <v/>
      </c>
      <c r="AU128" t="inlineStr">
        <is>
          <t>3132542828:eng</t>
        </is>
      </c>
      <c r="AV128" t="inlineStr">
        <is>
          <t>5028608</t>
        </is>
      </c>
      <c r="AW128" t="inlineStr">
        <is>
          <t>991004764869702656</t>
        </is>
      </c>
      <c r="AX128" t="inlineStr">
        <is>
          <t>991004764869702656</t>
        </is>
      </c>
      <c r="AY128" t="inlineStr">
        <is>
          <t>2272354710002656</t>
        </is>
      </c>
      <c r="AZ128" t="inlineStr">
        <is>
          <t>BOOK</t>
        </is>
      </c>
      <c r="BB128" t="inlineStr">
        <is>
          <t>9780814713761</t>
        </is>
      </c>
      <c r="BC128" t="inlineStr">
        <is>
          <t>32285001657930</t>
        </is>
      </c>
      <c r="BD128" t="inlineStr">
        <is>
          <t>893500924</t>
        </is>
      </c>
    </row>
    <row r="129">
      <c r="A129" t="inlineStr">
        <is>
          <t>No</t>
        </is>
      </c>
      <c r="B129" t="inlineStr">
        <is>
          <t>NA3770.G4 M6</t>
        </is>
      </c>
      <c r="C129" t="inlineStr">
        <is>
          <t>0                      NA 3770000G  4                  M  6</t>
        </is>
      </c>
      <c r="D129" t="inlineStr">
        <is>
          <t>Mosaics of Piazza Armerina; the hunting scenes. Translated by Brennan Wales.</t>
        </is>
      </c>
      <c r="F129" t="inlineStr">
        <is>
          <t>No</t>
        </is>
      </c>
      <c r="G129" t="inlineStr">
        <is>
          <t>1</t>
        </is>
      </c>
      <c r="H129" t="inlineStr">
        <is>
          <t>No</t>
        </is>
      </c>
      <c r="I129" t="inlineStr">
        <is>
          <t>No</t>
        </is>
      </c>
      <c r="J129" t="inlineStr">
        <is>
          <t>0</t>
        </is>
      </c>
      <c r="K129" t="inlineStr">
        <is>
          <t>Gentili, Gino Vinicio.</t>
        </is>
      </c>
      <c r="L129" t="inlineStr">
        <is>
          <t>Milano, Arti Grafiche Ricordi 1964.</t>
        </is>
      </c>
      <c r="M129" t="inlineStr">
        <is>
          <t>1964</t>
        </is>
      </c>
      <c r="N129" t="inlineStr">
        <is>
          <t>1st. ed.</t>
        </is>
      </c>
      <c r="O129" t="inlineStr">
        <is>
          <t>eng</t>
        </is>
      </c>
      <c r="P129" t="inlineStr">
        <is>
          <t xml:space="preserve">it </t>
        </is>
      </c>
      <c r="Q129" t="inlineStr">
        <is>
          <t>World painting</t>
        </is>
      </c>
      <c r="R129" t="inlineStr">
        <is>
          <t xml:space="preserve">NA </t>
        </is>
      </c>
      <c r="S129" t="n">
        <v>1</v>
      </c>
      <c r="T129" t="n">
        <v>1</v>
      </c>
      <c r="U129" t="inlineStr">
        <is>
          <t>2002-09-30</t>
        </is>
      </c>
      <c r="V129" t="inlineStr">
        <is>
          <t>2002-09-30</t>
        </is>
      </c>
      <c r="W129" t="inlineStr">
        <is>
          <t>1997-07-01</t>
        </is>
      </c>
      <c r="X129" t="inlineStr">
        <is>
          <t>1997-07-01</t>
        </is>
      </c>
      <c r="Y129" t="n">
        <v>188</v>
      </c>
      <c r="Z129" t="n">
        <v>165</v>
      </c>
      <c r="AA129" t="n">
        <v>167</v>
      </c>
      <c r="AB129" t="n">
        <v>2</v>
      </c>
      <c r="AC129" t="n">
        <v>2</v>
      </c>
      <c r="AD129" t="n">
        <v>6</v>
      </c>
      <c r="AE129" t="n">
        <v>6</v>
      </c>
      <c r="AF129" t="n">
        <v>2</v>
      </c>
      <c r="AG129" t="n">
        <v>2</v>
      </c>
      <c r="AH129" t="n">
        <v>1</v>
      </c>
      <c r="AI129" t="n">
        <v>1</v>
      </c>
      <c r="AJ129" t="n">
        <v>2</v>
      </c>
      <c r="AK129" t="n">
        <v>2</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HYPERLINK("https://creighton-primo.hosted.exlibrisgroup.com/primo-explore/search?tab=default_tab&amp;search_scope=EVERYTHING&amp;vid=01CRU&amp;lang=en_US&amp;offset=0&amp;query=any,contains,991004027289702656","Catalog Record")</f>
        <v/>
      </c>
      <c r="AT129">
        <f>HYPERLINK("http://www.worldcat.org/oclc/2139967","WorldCat Record")</f>
        <v/>
      </c>
      <c r="AU129" t="inlineStr">
        <is>
          <t>956244860:eng</t>
        </is>
      </c>
      <c r="AV129" t="inlineStr">
        <is>
          <t>2139967</t>
        </is>
      </c>
      <c r="AW129" t="inlineStr">
        <is>
          <t>991004027289702656</t>
        </is>
      </c>
      <c r="AX129" t="inlineStr">
        <is>
          <t>991004027289702656</t>
        </is>
      </c>
      <c r="AY129" t="inlineStr">
        <is>
          <t>2268998650002656</t>
        </is>
      </c>
      <c r="AZ129" t="inlineStr">
        <is>
          <t>BOOK</t>
        </is>
      </c>
      <c r="BC129" t="inlineStr">
        <is>
          <t>32285002862406</t>
        </is>
      </c>
      <c r="BD129" t="inlineStr">
        <is>
          <t>893775511</t>
        </is>
      </c>
    </row>
    <row r="130">
      <c r="A130" t="inlineStr">
        <is>
          <t>No</t>
        </is>
      </c>
      <c r="B130" t="inlineStr">
        <is>
          <t>NA3780 .B663</t>
        </is>
      </c>
      <c r="C130" t="inlineStr">
        <is>
          <t>0                      NA 3780000B  663</t>
        </is>
      </c>
      <c r="D130" t="inlineStr">
        <is>
          <t>Ravenna mosaics ; the so-called Mausoleum of Galla Placidia, the Baptistery of the Cathedral, the Archiepiscopal Chapel, the Baptistery of the Arians, the Basilica San Apollinare nuovo, the Church of San Vitale, the Basilica of San Appolinare in Classe / [Translated by Gustina Scaglia]</t>
        </is>
      </c>
      <c r="F130" t="inlineStr">
        <is>
          <t>No</t>
        </is>
      </c>
      <c r="G130" t="inlineStr">
        <is>
          <t>1</t>
        </is>
      </c>
      <c r="H130" t="inlineStr">
        <is>
          <t>No</t>
        </is>
      </c>
      <c r="I130" t="inlineStr">
        <is>
          <t>No</t>
        </is>
      </c>
      <c r="J130" t="inlineStr">
        <is>
          <t>0</t>
        </is>
      </c>
      <c r="K130" t="inlineStr">
        <is>
          <t>Bovini, Giuseppe.</t>
        </is>
      </c>
      <c r="L130" t="inlineStr">
        <is>
          <t>Greenwich, Conn. : New York Graphic Society, [1956]</t>
        </is>
      </c>
      <c r="M130" t="inlineStr">
        <is>
          <t>1956</t>
        </is>
      </c>
      <c r="O130" t="inlineStr">
        <is>
          <t>eng</t>
        </is>
      </c>
      <c r="P130" t="inlineStr">
        <is>
          <t>ctu</t>
        </is>
      </c>
      <c r="Q130" t="inlineStr">
        <is>
          <t>[The Great masters of the past, 4]</t>
        </is>
      </c>
      <c r="R130" t="inlineStr">
        <is>
          <t xml:space="preserve">NA </t>
        </is>
      </c>
      <c r="S130" t="n">
        <v>8</v>
      </c>
      <c r="T130" t="n">
        <v>8</v>
      </c>
      <c r="U130" t="inlineStr">
        <is>
          <t>1999-02-15</t>
        </is>
      </c>
      <c r="V130" t="inlineStr">
        <is>
          <t>1999-02-15</t>
        </is>
      </c>
      <c r="W130" t="inlineStr">
        <is>
          <t>1993-09-18</t>
        </is>
      </c>
      <c r="X130" t="inlineStr">
        <is>
          <t>1993-09-18</t>
        </is>
      </c>
      <c r="Y130" t="n">
        <v>652</v>
      </c>
      <c r="Z130" t="n">
        <v>622</v>
      </c>
      <c r="AA130" t="n">
        <v>623</v>
      </c>
      <c r="AB130" t="n">
        <v>4</v>
      </c>
      <c r="AC130" t="n">
        <v>4</v>
      </c>
      <c r="AD130" t="n">
        <v>28</v>
      </c>
      <c r="AE130" t="n">
        <v>28</v>
      </c>
      <c r="AF130" t="n">
        <v>12</v>
      </c>
      <c r="AG130" t="n">
        <v>12</v>
      </c>
      <c r="AH130" t="n">
        <v>6</v>
      </c>
      <c r="AI130" t="n">
        <v>6</v>
      </c>
      <c r="AJ130" t="n">
        <v>16</v>
      </c>
      <c r="AK130" t="n">
        <v>16</v>
      </c>
      <c r="AL130" t="n">
        <v>2</v>
      </c>
      <c r="AM130" t="n">
        <v>2</v>
      </c>
      <c r="AN130" t="n">
        <v>0</v>
      </c>
      <c r="AO130" t="n">
        <v>0</v>
      </c>
      <c r="AP130" t="inlineStr">
        <is>
          <t>No</t>
        </is>
      </c>
      <c r="AQ130" t="inlineStr">
        <is>
          <t>Yes</t>
        </is>
      </c>
      <c r="AR130">
        <f>HYPERLINK("http://catalog.hathitrust.org/Record/000566106","HathiTrust Record")</f>
        <v/>
      </c>
      <c r="AS130">
        <f>HYPERLINK("https://creighton-primo.hosted.exlibrisgroup.com/primo-explore/search?tab=default_tab&amp;search_scope=EVERYTHING&amp;vid=01CRU&amp;lang=en_US&amp;offset=0&amp;query=any,contains,991003846229702656","Catalog Record")</f>
        <v/>
      </c>
      <c r="AT130">
        <f>HYPERLINK("http://www.worldcat.org/oclc/1631017","WorldCat Record")</f>
        <v/>
      </c>
      <c r="AU130" t="inlineStr">
        <is>
          <t>8907279894:eng</t>
        </is>
      </c>
      <c r="AV130" t="inlineStr">
        <is>
          <t>1631017</t>
        </is>
      </c>
      <c r="AW130" t="inlineStr">
        <is>
          <t>991003846229702656</t>
        </is>
      </c>
      <c r="AX130" t="inlineStr">
        <is>
          <t>991003846229702656</t>
        </is>
      </c>
      <c r="AY130" t="inlineStr">
        <is>
          <t>2257178820002656</t>
        </is>
      </c>
      <c r="AZ130" t="inlineStr">
        <is>
          <t>BOOK</t>
        </is>
      </c>
      <c r="BC130" t="inlineStr">
        <is>
          <t>32285001770501</t>
        </is>
      </c>
      <c r="BD130" t="inlineStr">
        <is>
          <t>893775259</t>
        </is>
      </c>
    </row>
    <row r="131">
      <c r="A131" t="inlineStr">
        <is>
          <t>No</t>
        </is>
      </c>
      <c r="B131" t="inlineStr">
        <is>
          <t>NA3780 .D39 1976</t>
        </is>
      </c>
      <c r="C131" t="inlineStr">
        <is>
          <t>0                      NA 3780000D  39          1976</t>
        </is>
      </c>
      <c r="D131" t="inlineStr">
        <is>
          <t>Byzantine mosaic decoration : aspects of monumental art in Byzantium / Otto Demus.</t>
        </is>
      </c>
      <c r="F131" t="inlineStr">
        <is>
          <t>No</t>
        </is>
      </c>
      <c r="G131" t="inlineStr">
        <is>
          <t>1</t>
        </is>
      </c>
      <c r="H131" t="inlineStr">
        <is>
          <t>No</t>
        </is>
      </c>
      <c r="I131" t="inlineStr">
        <is>
          <t>No</t>
        </is>
      </c>
      <c r="J131" t="inlineStr">
        <is>
          <t>0</t>
        </is>
      </c>
      <c r="K131" t="inlineStr">
        <is>
          <t>Demus, Otto.</t>
        </is>
      </c>
      <c r="L131" t="inlineStr">
        <is>
          <t>New Rochelle, N.Y. : Caratzas Bros., 1976.</t>
        </is>
      </c>
      <c r="M131" t="inlineStr">
        <is>
          <t>1976</t>
        </is>
      </c>
      <c r="O131" t="inlineStr">
        <is>
          <t>eng</t>
        </is>
      </c>
      <c r="P131" t="inlineStr">
        <is>
          <t>nyu</t>
        </is>
      </c>
      <c r="R131" t="inlineStr">
        <is>
          <t xml:space="preserve">NA </t>
        </is>
      </c>
      <c r="S131" t="n">
        <v>4</v>
      </c>
      <c r="T131" t="n">
        <v>4</v>
      </c>
      <c r="U131" t="inlineStr">
        <is>
          <t>2008-04-23</t>
        </is>
      </c>
      <c r="V131" t="inlineStr">
        <is>
          <t>2008-04-23</t>
        </is>
      </c>
      <c r="W131" t="inlineStr">
        <is>
          <t>1990-08-03</t>
        </is>
      </c>
      <c r="X131" t="inlineStr">
        <is>
          <t>1990-08-03</t>
        </is>
      </c>
      <c r="Y131" t="n">
        <v>383</v>
      </c>
      <c r="Z131" t="n">
        <v>328</v>
      </c>
      <c r="AA131" t="n">
        <v>827</v>
      </c>
      <c r="AB131" t="n">
        <v>1</v>
      </c>
      <c r="AC131" t="n">
        <v>6</v>
      </c>
      <c r="AD131" t="n">
        <v>13</v>
      </c>
      <c r="AE131" t="n">
        <v>38</v>
      </c>
      <c r="AF131" t="n">
        <v>6</v>
      </c>
      <c r="AG131" t="n">
        <v>15</v>
      </c>
      <c r="AH131" t="n">
        <v>4</v>
      </c>
      <c r="AI131" t="n">
        <v>10</v>
      </c>
      <c r="AJ131" t="n">
        <v>7</v>
      </c>
      <c r="AK131" t="n">
        <v>19</v>
      </c>
      <c r="AL131" t="n">
        <v>0</v>
      </c>
      <c r="AM131" t="n">
        <v>4</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HYPERLINK("https://creighton-primo.hosted.exlibrisgroup.com/primo-explore/search?tab=default_tab&amp;search_scope=EVERYTHING&amp;vid=01CRU&amp;lang=en_US&amp;offset=0&amp;query=any,contains,991004205539702656","Catalog Record")</f>
        <v/>
      </c>
      <c r="AT131">
        <f>HYPERLINK("http://www.worldcat.org/oclc/2664844","WorldCat Record")</f>
        <v/>
      </c>
      <c r="AU131" t="inlineStr">
        <is>
          <t>549300:eng</t>
        </is>
      </c>
      <c r="AV131" t="inlineStr">
        <is>
          <t>2664844</t>
        </is>
      </c>
      <c r="AW131" t="inlineStr">
        <is>
          <t>991004205539702656</t>
        </is>
      </c>
      <c r="AX131" t="inlineStr">
        <is>
          <t>991004205539702656</t>
        </is>
      </c>
      <c r="AY131" t="inlineStr">
        <is>
          <t>2260306200002656</t>
        </is>
      </c>
      <c r="AZ131" t="inlineStr">
        <is>
          <t>BOOK</t>
        </is>
      </c>
      <c r="BB131" t="inlineStr">
        <is>
          <t>9780892410187</t>
        </is>
      </c>
      <c r="BC131" t="inlineStr">
        <is>
          <t>32285000263797</t>
        </is>
      </c>
      <c r="BD131" t="inlineStr">
        <is>
          <t>893253391</t>
        </is>
      </c>
    </row>
    <row r="132">
      <c r="A132" t="inlineStr">
        <is>
          <t>No</t>
        </is>
      </c>
      <c r="B132" t="inlineStr">
        <is>
          <t>NA3780 .U53</t>
        </is>
      </c>
      <c r="C132" t="inlineStr">
        <is>
          <t>0                      NA 3780000U  53</t>
        </is>
      </c>
      <c r="D132" t="inlineStr">
        <is>
          <t>Israel : ancient mosaics / Pref. [by] Meyer Schapiro. Introd. [by] Michael Avi-Yonah.</t>
        </is>
      </c>
      <c r="F132" t="inlineStr">
        <is>
          <t>No</t>
        </is>
      </c>
      <c r="G132" t="inlineStr">
        <is>
          <t>1</t>
        </is>
      </c>
      <c r="H132" t="inlineStr">
        <is>
          <t>No</t>
        </is>
      </c>
      <c r="I132" t="inlineStr">
        <is>
          <t>No</t>
        </is>
      </c>
      <c r="J132" t="inlineStr">
        <is>
          <t>0</t>
        </is>
      </c>
      <c r="K132" t="inlineStr">
        <is>
          <t>Unesco.</t>
        </is>
      </c>
      <c r="L132" t="inlineStr">
        <is>
          <t>[Greenwich, Conn.] New York Graphic Society [1960]</t>
        </is>
      </c>
      <c r="M132" t="inlineStr">
        <is>
          <t>1960</t>
        </is>
      </c>
      <c r="O132" t="inlineStr">
        <is>
          <t>eng</t>
        </is>
      </c>
      <c r="P132" t="inlineStr">
        <is>
          <t>ctu</t>
        </is>
      </c>
      <c r="Q132" t="inlineStr">
        <is>
          <t>Unesco world art series ; 14</t>
        </is>
      </c>
      <c r="R132" t="inlineStr">
        <is>
          <t xml:space="preserve">NA </t>
        </is>
      </c>
      <c r="S132" t="n">
        <v>4</v>
      </c>
      <c r="T132" t="n">
        <v>4</v>
      </c>
      <c r="U132" t="inlineStr">
        <is>
          <t>2007-03-08</t>
        </is>
      </c>
      <c r="V132" t="inlineStr">
        <is>
          <t>2007-03-08</t>
        </is>
      </c>
      <c r="W132" t="inlineStr">
        <is>
          <t>1997-05-27</t>
        </is>
      </c>
      <c r="X132" t="inlineStr">
        <is>
          <t>1997-05-27</t>
        </is>
      </c>
      <c r="Y132" t="n">
        <v>604</v>
      </c>
      <c r="Z132" t="n">
        <v>531</v>
      </c>
      <c r="AA132" t="n">
        <v>556</v>
      </c>
      <c r="AB132" t="n">
        <v>4</v>
      </c>
      <c r="AC132" t="n">
        <v>4</v>
      </c>
      <c r="AD132" t="n">
        <v>14</v>
      </c>
      <c r="AE132" t="n">
        <v>14</v>
      </c>
      <c r="AF132" t="n">
        <v>4</v>
      </c>
      <c r="AG132" t="n">
        <v>4</v>
      </c>
      <c r="AH132" t="n">
        <v>3</v>
      </c>
      <c r="AI132" t="n">
        <v>3</v>
      </c>
      <c r="AJ132" t="n">
        <v>5</v>
      </c>
      <c r="AK132" t="n">
        <v>5</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HYPERLINK("https://creighton-primo.hosted.exlibrisgroup.com/primo-explore/search?tab=default_tab&amp;search_scope=EVERYTHING&amp;vid=01CRU&amp;lang=en_US&amp;offset=0&amp;query=any,contains,991002467629702656","Catalog Record")</f>
        <v/>
      </c>
      <c r="AT132">
        <f>HYPERLINK("http://www.worldcat.org/oclc/357998","WorldCat Record")</f>
        <v/>
      </c>
      <c r="AU132" t="inlineStr">
        <is>
          <t>507619612:eng</t>
        </is>
      </c>
      <c r="AV132" t="inlineStr">
        <is>
          <t>357998</t>
        </is>
      </c>
      <c r="AW132" t="inlineStr">
        <is>
          <t>991002467629702656</t>
        </is>
      </c>
      <c r="AX132" t="inlineStr">
        <is>
          <t>991002467629702656</t>
        </is>
      </c>
      <c r="AY132" t="inlineStr">
        <is>
          <t>2265733870002656</t>
        </is>
      </c>
      <c r="AZ132" t="inlineStr">
        <is>
          <t>BOOK</t>
        </is>
      </c>
      <c r="BC132" t="inlineStr">
        <is>
          <t>32285002696549</t>
        </is>
      </c>
      <c r="BD132" t="inlineStr">
        <is>
          <t>893898784</t>
        </is>
      </c>
    </row>
    <row r="133">
      <c r="A133" t="inlineStr">
        <is>
          <t>No</t>
        </is>
      </c>
      <c r="B133" t="inlineStr">
        <is>
          <t>NA3788 .D45 1988</t>
        </is>
      </c>
      <c r="C133" t="inlineStr">
        <is>
          <t>0                      NA 3788000D  45          1988</t>
        </is>
      </c>
      <c r="D133" t="inlineStr">
        <is>
          <t>The mosaic decoration of San Marco, Venice / Otto Demus ; edited by Herbert L. Kessler.</t>
        </is>
      </c>
      <c r="F133" t="inlineStr">
        <is>
          <t>No</t>
        </is>
      </c>
      <c r="G133" t="inlineStr">
        <is>
          <t>1</t>
        </is>
      </c>
      <c r="H133" t="inlineStr">
        <is>
          <t>No</t>
        </is>
      </c>
      <c r="I133" t="inlineStr">
        <is>
          <t>No</t>
        </is>
      </c>
      <c r="J133" t="inlineStr">
        <is>
          <t>0</t>
        </is>
      </c>
      <c r="K133" t="inlineStr">
        <is>
          <t>Demus, Otto.</t>
        </is>
      </c>
      <c r="L133" t="inlineStr">
        <is>
          <t>Chicago : University of Chicago Press, 1988.</t>
        </is>
      </c>
      <c r="M133" t="inlineStr">
        <is>
          <t>1988</t>
        </is>
      </c>
      <c r="O133" t="inlineStr">
        <is>
          <t>eng</t>
        </is>
      </c>
      <c r="P133" t="inlineStr">
        <is>
          <t>ilu</t>
        </is>
      </c>
      <c r="R133" t="inlineStr">
        <is>
          <t xml:space="preserve">NA </t>
        </is>
      </c>
      <c r="S133" t="n">
        <v>1</v>
      </c>
      <c r="T133" t="n">
        <v>1</v>
      </c>
      <c r="U133" t="inlineStr">
        <is>
          <t>2006-11-20</t>
        </is>
      </c>
      <c r="V133" t="inlineStr">
        <is>
          <t>2006-11-20</t>
        </is>
      </c>
      <c r="W133" t="inlineStr">
        <is>
          <t>2006-11-20</t>
        </is>
      </c>
      <c r="X133" t="inlineStr">
        <is>
          <t>2006-11-20</t>
        </is>
      </c>
      <c r="Y133" t="n">
        <v>615</v>
      </c>
      <c r="Z133" t="n">
        <v>494</v>
      </c>
      <c r="AA133" t="n">
        <v>494</v>
      </c>
      <c r="AB133" t="n">
        <v>3</v>
      </c>
      <c r="AC133" t="n">
        <v>3</v>
      </c>
      <c r="AD133" t="n">
        <v>21</v>
      </c>
      <c r="AE133" t="n">
        <v>21</v>
      </c>
      <c r="AF133" t="n">
        <v>7</v>
      </c>
      <c r="AG133" t="n">
        <v>7</v>
      </c>
      <c r="AH133" t="n">
        <v>6</v>
      </c>
      <c r="AI133" t="n">
        <v>6</v>
      </c>
      <c r="AJ133" t="n">
        <v>10</v>
      </c>
      <c r="AK133" t="n">
        <v>10</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HYPERLINK("https://creighton-primo.hosted.exlibrisgroup.com/primo-explore/search?tab=default_tab&amp;search_scope=EVERYTHING&amp;vid=01CRU&amp;lang=en_US&amp;offset=0&amp;query=any,contains,991004986989702656","Catalog Record")</f>
        <v/>
      </c>
      <c r="AT133">
        <f>HYPERLINK("http://www.worldcat.org/oclc/17732671","WorldCat Record")</f>
        <v/>
      </c>
      <c r="AU133" t="inlineStr">
        <is>
          <t>16757761:eng</t>
        </is>
      </c>
      <c r="AV133" t="inlineStr">
        <is>
          <t>17732671</t>
        </is>
      </c>
      <c r="AW133" t="inlineStr">
        <is>
          <t>991004986989702656</t>
        </is>
      </c>
      <c r="AX133" t="inlineStr">
        <is>
          <t>991004986989702656</t>
        </is>
      </c>
      <c r="AY133" t="inlineStr">
        <is>
          <t>2270923870002656</t>
        </is>
      </c>
      <c r="AZ133" t="inlineStr">
        <is>
          <t>BOOK</t>
        </is>
      </c>
      <c r="BB133" t="inlineStr">
        <is>
          <t>9780226142913</t>
        </is>
      </c>
      <c r="BC133" t="inlineStr">
        <is>
          <t>32285005260491</t>
        </is>
      </c>
      <c r="BD133" t="inlineStr">
        <is>
          <t>893412163</t>
        </is>
      </c>
    </row>
    <row r="134">
      <c r="A134" t="inlineStr">
        <is>
          <t>No</t>
        </is>
      </c>
      <c r="B134" t="inlineStr">
        <is>
          <t>NA380 .H5 1964b</t>
        </is>
      </c>
      <c r="C134" t="inlineStr">
        <is>
          <t>0                      NA 0380000H  5           1964b</t>
        </is>
      </c>
      <c r="D134" t="inlineStr">
        <is>
          <t>Islamic architecture and its decoration, A.D. 800-1500 : a photographic survey / by Derek Hill. With an introductory text by Oleg Grabar.</t>
        </is>
      </c>
      <c r="F134" t="inlineStr">
        <is>
          <t>No</t>
        </is>
      </c>
      <c r="G134" t="inlineStr">
        <is>
          <t>1</t>
        </is>
      </c>
      <c r="H134" t="inlineStr">
        <is>
          <t>No</t>
        </is>
      </c>
      <c r="I134" t="inlineStr">
        <is>
          <t>No</t>
        </is>
      </c>
      <c r="J134" t="inlineStr">
        <is>
          <t>0</t>
        </is>
      </c>
      <c r="K134" t="inlineStr">
        <is>
          <t>Hill, Derek.</t>
        </is>
      </c>
      <c r="L134" t="inlineStr">
        <is>
          <t>[Chicago] University of Chicago Press [c1964]</t>
        </is>
      </c>
      <c r="M134" t="inlineStr">
        <is>
          <t>1964</t>
        </is>
      </c>
      <c r="O134" t="inlineStr">
        <is>
          <t>eng</t>
        </is>
      </c>
      <c r="P134" t="inlineStr">
        <is>
          <t xml:space="preserve">xx </t>
        </is>
      </c>
      <c r="R134" t="inlineStr">
        <is>
          <t xml:space="preserve">NA </t>
        </is>
      </c>
      <c r="S134" t="n">
        <v>4</v>
      </c>
      <c r="T134" t="n">
        <v>4</v>
      </c>
      <c r="U134" t="inlineStr">
        <is>
          <t>2001-04-18</t>
        </is>
      </c>
      <c r="V134" t="inlineStr">
        <is>
          <t>2001-04-18</t>
        </is>
      </c>
      <c r="W134" t="inlineStr">
        <is>
          <t>1997-09-10</t>
        </is>
      </c>
      <c r="X134" t="inlineStr">
        <is>
          <t>1997-09-10</t>
        </is>
      </c>
      <c r="Y134" t="n">
        <v>151</v>
      </c>
      <c r="Z134" t="n">
        <v>145</v>
      </c>
      <c r="AA134" t="n">
        <v>532</v>
      </c>
      <c r="AB134" t="n">
        <v>2</v>
      </c>
      <c r="AC134" t="n">
        <v>5</v>
      </c>
      <c r="AD134" t="n">
        <v>5</v>
      </c>
      <c r="AE134" t="n">
        <v>21</v>
      </c>
      <c r="AF134" t="n">
        <v>1</v>
      </c>
      <c r="AG134" t="n">
        <v>6</v>
      </c>
      <c r="AH134" t="n">
        <v>0</v>
      </c>
      <c r="AI134" t="n">
        <v>4</v>
      </c>
      <c r="AJ134" t="n">
        <v>3</v>
      </c>
      <c r="AK134" t="n">
        <v>9</v>
      </c>
      <c r="AL134" t="n">
        <v>1</v>
      </c>
      <c r="AM134" t="n">
        <v>4</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HYPERLINK("https://creighton-primo.hosted.exlibrisgroup.com/primo-explore/search?tab=default_tab&amp;search_scope=EVERYTHING&amp;vid=01CRU&amp;lang=en_US&amp;offset=0&amp;query=any,contains,991003679579702656","Catalog Record")</f>
        <v/>
      </c>
      <c r="AT134">
        <f>HYPERLINK("http://www.worldcat.org/oclc/1304107","WorldCat Record")</f>
        <v/>
      </c>
      <c r="AU134" t="inlineStr">
        <is>
          <t>1355194:eng</t>
        </is>
      </c>
      <c r="AV134" t="inlineStr">
        <is>
          <t>1304107</t>
        </is>
      </c>
      <c r="AW134" t="inlineStr">
        <is>
          <t>991003679579702656</t>
        </is>
      </c>
      <c r="AX134" t="inlineStr">
        <is>
          <t>991003679579702656</t>
        </is>
      </c>
      <c r="AY134" t="inlineStr">
        <is>
          <t>2268168280002656</t>
        </is>
      </c>
      <c r="AZ134" t="inlineStr">
        <is>
          <t>BOOK</t>
        </is>
      </c>
      <c r="BC134" t="inlineStr">
        <is>
          <t>32285003170114</t>
        </is>
      </c>
      <c r="BD134" t="inlineStr">
        <is>
          <t>893781268</t>
        </is>
      </c>
    </row>
    <row r="135">
      <c r="A135" t="inlineStr">
        <is>
          <t>No</t>
        </is>
      </c>
      <c r="B135" t="inlineStr">
        <is>
          <t>NA380 .M435 2001</t>
        </is>
      </c>
      <c r="C135" t="inlineStr">
        <is>
          <t>0                      NA 0380000M  435         2001</t>
        </is>
      </c>
      <c r="D135" t="inlineStr">
        <is>
          <t>A medieval Islamic city reconsidered : an interdisciplinary approach to Samarra / edited by Chase F. Robinson.</t>
        </is>
      </c>
      <c r="F135" t="inlineStr">
        <is>
          <t>No</t>
        </is>
      </c>
      <c r="G135" t="inlineStr">
        <is>
          <t>1</t>
        </is>
      </c>
      <c r="H135" t="inlineStr">
        <is>
          <t>No</t>
        </is>
      </c>
      <c r="I135" t="inlineStr">
        <is>
          <t>No</t>
        </is>
      </c>
      <c r="J135" t="inlineStr">
        <is>
          <t>0</t>
        </is>
      </c>
      <c r="L135" t="inlineStr">
        <is>
          <t>Oxford : Oxford University Press, c2001.</t>
        </is>
      </c>
      <c r="M135" t="inlineStr">
        <is>
          <t>2001</t>
        </is>
      </c>
      <c r="O135" t="inlineStr">
        <is>
          <t>eng</t>
        </is>
      </c>
      <c r="P135" t="inlineStr">
        <is>
          <t>enk</t>
        </is>
      </c>
      <c r="Q135" t="inlineStr">
        <is>
          <t>Oxford studies in Islamic art ; 14</t>
        </is>
      </c>
      <c r="R135" t="inlineStr">
        <is>
          <t xml:space="preserve">NA </t>
        </is>
      </c>
      <c r="S135" t="n">
        <v>2</v>
      </c>
      <c r="T135" t="n">
        <v>2</v>
      </c>
      <c r="U135" t="inlineStr">
        <is>
          <t>2008-01-20</t>
        </is>
      </c>
      <c r="V135" t="inlineStr">
        <is>
          <t>2008-01-20</t>
        </is>
      </c>
      <c r="W135" t="inlineStr">
        <is>
          <t>2002-09-11</t>
        </is>
      </c>
      <c r="X135" t="inlineStr">
        <is>
          <t>2002-09-11</t>
        </is>
      </c>
      <c r="Y135" t="n">
        <v>254</v>
      </c>
      <c r="Z135" t="n">
        <v>178</v>
      </c>
      <c r="AA135" t="n">
        <v>178</v>
      </c>
      <c r="AB135" t="n">
        <v>2</v>
      </c>
      <c r="AC135" t="n">
        <v>2</v>
      </c>
      <c r="AD135" t="n">
        <v>10</v>
      </c>
      <c r="AE135" t="n">
        <v>10</v>
      </c>
      <c r="AF135" t="n">
        <v>2</v>
      </c>
      <c r="AG135" t="n">
        <v>2</v>
      </c>
      <c r="AH135" t="n">
        <v>4</v>
      </c>
      <c r="AI135" t="n">
        <v>4</v>
      </c>
      <c r="AJ135" t="n">
        <v>6</v>
      </c>
      <c r="AK135" t="n">
        <v>6</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HYPERLINK("https://creighton-primo.hosted.exlibrisgroup.com/primo-explore/search?tab=default_tab&amp;search_scope=EVERYTHING&amp;vid=01CRU&amp;lang=en_US&amp;offset=0&amp;query=any,contains,991003865539702656","Catalog Record")</f>
        <v/>
      </c>
      <c r="AT135">
        <f>HYPERLINK("http://www.worldcat.org/oclc/49413255","WorldCat Record")</f>
        <v/>
      </c>
      <c r="AU135" t="inlineStr">
        <is>
          <t>839223318:eng</t>
        </is>
      </c>
      <c r="AV135" t="inlineStr">
        <is>
          <t>49413255</t>
        </is>
      </c>
      <c r="AW135" t="inlineStr">
        <is>
          <t>991003865539702656</t>
        </is>
      </c>
      <c r="AX135" t="inlineStr">
        <is>
          <t>991003865539702656</t>
        </is>
      </c>
      <c r="AY135" t="inlineStr">
        <is>
          <t>2260077750002656</t>
        </is>
      </c>
      <c r="AZ135" t="inlineStr">
        <is>
          <t>BOOK</t>
        </is>
      </c>
      <c r="BB135" t="inlineStr">
        <is>
          <t>9780197280249</t>
        </is>
      </c>
      <c r="BC135" t="inlineStr">
        <is>
          <t>32285004646765</t>
        </is>
      </c>
      <c r="BD135" t="inlineStr">
        <is>
          <t>893240688</t>
        </is>
      </c>
    </row>
    <row r="136">
      <c r="A136" t="inlineStr">
        <is>
          <t>No</t>
        </is>
      </c>
      <c r="B136" t="inlineStr">
        <is>
          <t>NA3850.R6 O15 1967b</t>
        </is>
      </c>
      <c r="C136" t="inlineStr">
        <is>
          <t>0                      NA 3850000R  6                  O  15          1967b</t>
        </is>
      </c>
      <c r="D136" t="inlineStr">
        <is>
          <t>The mosaics of Rome, from the third to the fourteenth centuries / [by] Walter Oakeshott.</t>
        </is>
      </c>
      <c r="F136" t="inlineStr">
        <is>
          <t>No</t>
        </is>
      </c>
      <c r="G136" t="inlineStr">
        <is>
          <t>1</t>
        </is>
      </c>
      <c r="H136" t="inlineStr">
        <is>
          <t>No</t>
        </is>
      </c>
      <c r="I136" t="inlineStr">
        <is>
          <t>No</t>
        </is>
      </c>
      <c r="J136" t="inlineStr">
        <is>
          <t>0</t>
        </is>
      </c>
      <c r="K136" t="inlineStr">
        <is>
          <t>Oakeshott, Walter, 1903-1987.</t>
        </is>
      </c>
      <c r="L136" t="inlineStr">
        <is>
          <t>Greenwich, Conn. : New York Graphic Society, [1967]</t>
        </is>
      </c>
      <c r="M136" t="inlineStr">
        <is>
          <t>1967</t>
        </is>
      </c>
      <c r="O136" t="inlineStr">
        <is>
          <t>eng</t>
        </is>
      </c>
      <c r="P136" t="inlineStr">
        <is>
          <t>ctu</t>
        </is>
      </c>
      <c r="R136" t="inlineStr">
        <is>
          <t xml:space="preserve">NA </t>
        </is>
      </c>
      <c r="S136" t="n">
        <v>6</v>
      </c>
      <c r="T136" t="n">
        <v>6</v>
      </c>
      <c r="U136" t="inlineStr">
        <is>
          <t>2008-04-23</t>
        </is>
      </c>
      <c r="V136" t="inlineStr">
        <is>
          <t>2008-04-23</t>
        </is>
      </c>
      <c r="W136" t="inlineStr">
        <is>
          <t>1992-11-16</t>
        </is>
      </c>
      <c r="X136" t="inlineStr">
        <is>
          <t>1992-11-16</t>
        </is>
      </c>
      <c r="Y136" t="n">
        <v>631</v>
      </c>
      <c r="Z136" t="n">
        <v>580</v>
      </c>
      <c r="AA136" t="n">
        <v>681</v>
      </c>
      <c r="AB136" t="n">
        <v>5</v>
      </c>
      <c r="AC136" t="n">
        <v>5</v>
      </c>
      <c r="AD136" t="n">
        <v>25</v>
      </c>
      <c r="AE136" t="n">
        <v>29</v>
      </c>
      <c r="AF136" t="n">
        <v>9</v>
      </c>
      <c r="AG136" t="n">
        <v>10</v>
      </c>
      <c r="AH136" t="n">
        <v>8</v>
      </c>
      <c r="AI136" t="n">
        <v>8</v>
      </c>
      <c r="AJ136" t="n">
        <v>11</v>
      </c>
      <c r="AK136" t="n">
        <v>15</v>
      </c>
      <c r="AL136" t="n">
        <v>3</v>
      </c>
      <c r="AM136" t="n">
        <v>3</v>
      </c>
      <c r="AN136" t="n">
        <v>0</v>
      </c>
      <c r="AO136" t="n">
        <v>0</v>
      </c>
      <c r="AP136" t="inlineStr">
        <is>
          <t>No</t>
        </is>
      </c>
      <c r="AQ136" t="inlineStr">
        <is>
          <t>Yes</t>
        </is>
      </c>
      <c r="AR136">
        <f>HYPERLINK("http://catalog.hathitrust.org/Record/009912831","HathiTrust Record")</f>
        <v/>
      </c>
      <c r="AS136">
        <f>HYPERLINK("https://creighton-primo.hosted.exlibrisgroup.com/primo-explore/search?tab=default_tab&amp;search_scope=EVERYTHING&amp;vid=01CRU&amp;lang=en_US&amp;offset=0&amp;query=any,contains,991002168499702656","Catalog Record")</f>
        <v/>
      </c>
      <c r="AT136">
        <f>HYPERLINK("http://www.worldcat.org/oclc/276137","WorldCat Record")</f>
        <v/>
      </c>
      <c r="AU136" t="inlineStr">
        <is>
          <t>1412241:eng</t>
        </is>
      </c>
      <c r="AV136" t="inlineStr">
        <is>
          <t>276137</t>
        </is>
      </c>
      <c r="AW136" t="inlineStr">
        <is>
          <t>991002168499702656</t>
        </is>
      </c>
      <c r="AX136" t="inlineStr">
        <is>
          <t>991002168499702656</t>
        </is>
      </c>
      <c r="AY136" t="inlineStr">
        <is>
          <t>2261840530002656</t>
        </is>
      </c>
      <c r="AZ136" t="inlineStr">
        <is>
          <t>BOOK</t>
        </is>
      </c>
      <c r="BC136" t="inlineStr">
        <is>
          <t>32285001405280</t>
        </is>
      </c>
      <c r="BD136" t="inlineStr">
        <is>
          <t>893523273</t>
        </is>
      </c>
    </row>
    <row r="137">
      <c r="A137" t="inlineStr">
        <is>
          <t>No</t>
        </is>
      </c>
      <c r="B137" t="inlineStr">
        <is>
          <t>NA390 .B813 1960</t>
        </is>
      </c>
      <c r="C137" t="inlineStr">
        <is>
          <t>0                      NA 0390000B  813         1960</t>
        </is>
      </c>
      <c r="D137" t="inlineStr">
        <is>
          <t>Romanesque Europe / with an introd. by R.H.C. Davis. Edited by Harald Busch and Bernd Lohse. With commentaries on the illus. by Helmut Domke. [Translated by Peter Gorge.]</t>
        </is>
      </c>
      <c r="F137" t="inlineStr">
        <is>
          <t>No</t>
        </is>
      </c>
      <c r="G137" t="inlineStr">
        <is>
          <t>1</t>
        </is>
      </c>
      <c r="H137" t="inlineStr">
        <is>
          <t>No</t>
        </is>
      </c>
      <c r="I137" t="inlineStr">
        <is>
          <t>No</t>
        </is>
      </c>
      <c r="J137" t="inlineStr">
        <is>
          <t>0</t>
        </is>
      </c>
      <c r="K137" t="inlineStr">
        <is>
          <t>Busch, Harald, 1904-1983 editor.</t>
        </is>
      </c>
      <c r="L137" t="inlineStr">
        <is>
          <t>New York : Macmillan, 1960, [c1959]</t>
        </is>
      </c>
      <c r="M137" t="inlineStr">
        <is>
          <t>1960</t>
        </is>
      </c>
      <c r="O137" t="inlineStr">
        <is>
          <t>eng</t>
        </is>
      </c>
      <c r="P137" t="inlineStr">
        <is>
          <t>nyu</t>
        </is>
      </c>
      <c r="Q137" t="inlineStr">
        <is>
          <t>Buildings of Europe</t>
        </is>
      </c>
      <c r="R137" t="inlineStr">
        <is>
          <t xml:space="preserve">NA </t>
        </is>
      </c>
      <c r="S137" t="n">
        <v>2</v>
      </c>
      <c r="T137" t="n">
        <v>2</v>
      </c>
      <c r="U137" t="inlineStr">
        <is>
          <t>2008-09-17</t>
        </is>
      </c>
      <c r="V137" t="inlineStr">
        <is>
          <t>2008-09-17</t>
        </is>
      </c>
      <c r="W137" t="inlineStr">
        <is>
          <t>1994-07-06</t>
        </is>
      </c>
      <c r="X137" t="inlineStr">
        <is>
          <t>1994-07-06</t>
        </is>
      </c>
      <c r="Y137" t="n">
        <v>261</v>
      </c>
      <c r="Z137" t="n">
        <v>250</v>
      </c>
      <c r="AA137" t="n">
        <v>307</v>
      </c>
      <c r="AB137" t="n">
        <v>2</v>
      </c>
      <c r="AC137" t="n">
        <v>2</v>
      </c>
      <c r="AD137" t="n">
        <v>9</v>
      </c>
      <c r="AE137" t="n">
        <v>12</v>
      </c>
      <c r="AF137" t="n">
        <v>3</v>
      </c>
      <c r="AG137" t="n">
        <v>6</v>
      </c>
      <c r="AH137" t="n">
        <v>3</v>
      </c>
      <c r="AI137" t="n">
        <v>3</v>
      </c>
      <c r="AJ137" t="n">
        <v>4</v>
      </c>
      <c r="AK137" t="n">
        <v>4</v>
      </c>
      <c r="AL137" t="n">
        <v>1</v>
      </c>
      <c r="AM137" t="n">
        <v>1</v>
      </c>
      <c r="AN137" t="n">
        <v>0</v>
      </c>
      <c r="AO137" t="n">
        <v>0</v>
      </c>
      <c r="AP137" t="inlineStr">
        <is>
          <t>No</t>
        </is>
      </c>
      <c r="AQ137" t="inlineStr">
        <is>
          <t>Yes</t>
        </is>
      </c>
      <c r="AR137">
        <f>HYPERLINK("http://catalog.hathitrust.org/Record/000410051","HathiTrust Record")</f>
        <v/>
      </c>
      <c r="AS137">
        <f>HYPERLINK("https://creighton-primo.hosted.exlibrisgroup.com/primo-explore/search?tab=default_tab&amp;search_scope=EVERYTHING&amp;vid=01CRU&amp;lang=en_US&amp;offset=0&amp;query=any,contains,991002873489702656","Catalog Record")</f>
        <v/>
      </c>
      <c r="AT137">
        <f>HYPERLINK("http://www.worldcat.org/oclc/501201","WorldCat Record")</f>
        <v/>
      </c>
      <c r="AU137" t="inlineStr">
        <is>
          <t>10568088773:eng</t>
        </is>
      </c>
      <c r="AV137" t="inlineStr">
        <is>
          <t>501201</t>
        </is>
      </c>
      <c r="AW137" t="inlineStr">
        <is>
          <t>991002873489702656</t>
        </is>
      </c>
      <c r="AX137" t="inlineStr">
        <is>
          <t>991002873489702656</t>
        </is>
      </c>
      <c r="AY137" t="inlineStr">
        <is>
          <t>2256756260002656</t>
        </is>
      </c>
      <c r="AZ137" t="inlineStr">
        <is>
          <t>BOOK</t>
        </is>
      </c>
      <c r="BC137" t="inlineStr">
        <is>
          <t>32285001936128</t>
        </is>
      </c>
      <c r="BD137" t="inlineStr">
        <is>
          <t>893511298</t>
        </is>
      </c>
    </row>
    <row r="138">
      <c r="A138" t="inlineStr">
        <is>
          <t>No</t>
        </is>
      </c>
      <c r="B138" t="inlineStr">
        <is>
          <t>NA3950 .G74 1992</t>
        </is>
      </c>
      <c r="C138" t="inlineStr">
        <is>
          <t>0                      NA 3950000G  74          1992</t>
        </is>
      </c>
      <c r="D138" t="inlineStr">
        <is>
          <t>Treasury of ironwork designs : 469 examples from historical sources / selected and arranged by Carol Belanger Grafton.</t>
        </is>
      </c>
      <c r="F138" t="inlineStr">
        <is>
          <t>No</t>
        </is>
      </c>
      <c r="G138" t="inlineStr">
        <is>
          <t>1</t>
        </is>
      </c>
      <c r="H138" t="inlineStr">
        <is>
          <t>No</t>
        </is>
      </c>
      <c r="I138" t="inlineStr">
        <is>
          <t>No</t>
        </is>
      </c>
      <c r="J138" t="inlineStr">
        <is>
          <t>0</t>
        </is>
      </c>
      <c r="K138" t="inlineStr">
        <is>
          <t>Grafton, Carol Belanger.</t>
        </is>
      </c>
      <c r="L138" t="inlineStr">
        <is>
          <t>New York : Dover Publications, c1992.</t>
        </is>
      </c>
      <c r="M138" t="inlineStr">
        <is>
          <t>1992</t>
        </is>
      </c>
      <c r="O138" t="inlineStr">
        <is>
          <t>eng</t>
        </is>
      </c>
      <c r="P138" t="inlineStr">
        <is>
          <t>nyu</t>
        </is>
      </c>
      <c r="Q138" t="inlineStr">
        <is>
          <t>Dover pictorial archive series</t>
        </is>
      </c>
      <c r="R138" t="inlineStr">
        <is>
          <t xml:space="preserve">NA </t>
        </is>
      </c>
      <c r="S138" t="n">
        <v>1</v>
      </c>
      <c r="T138" t="n">
        <v>1</v>
      </c>
      <c r="U138" t="inlineStr">
        <is>
          <t>2000-04-07</t>
        </is>
      </c>
      <c r="V138" t="inlineStr">
        <is>
          <t>2000-04-07</t>
        </is>
      </c>
      <c r="W138" t="inlineStr">
        <is>
          <t>1997-02-27</t>
        </is>
      </c>
      <c r="X138" t="inlineStr">
        <is>
          <t>1997-02-27</t>
        </is>
      </c>
      <c r="Y138" t="n">
        <v>168</v>
      </c>
      <c r="Z138" t="n">
        <v>136</v>
      </c>
      <c r="AA138" t="n">
        <v>221</v>
      </c>
      <c r="AB138" t="n">
        <v>1</v>
      </c>
      <c r="AC138" t="n">
        <v>2</v>
      </c>
      <c r="AD138" t="n">
        <v>1</v>
      </c>
      <c r="AE138" t="n">
        <v>3</v>
      </c>
      <c r="AF138" t="n">
        <v>1</v>
      </c>
      <c r="AG138" t="n">
        <v>2</v>
      </c>
      <c r="AH138" t="n">
        <v>0</v>
      </c>
      <c r="AI138" t="n">
        <v>1</v>
      </c>
      <c r="AJ138" t="n">
        <v>0</v>
      </c>
      <c r="AK138" t="n">
        <v>0</v>
      </c>
      <c r="AL138" t="n">
        <v>0</v>
      </c>
      <c r="AM138" t="n">
        <v>1</v>
      </c>
      <c r="AN138" t="n">
        <v>0</v>
      </c>
      <c r="AO138" t="n">
        <v>0</v>
      </c>
      <c r="AP138" t="inlineStr">
        <is>
          <t>No</t>
        </is>
      </c>
      <c r="AQ138" t="inlineStr">
        <is>
          <t>Yes</t>
        </is>
      </c>
      <c r="AR138">
        <f>HYPERLINK("http://catalog.hathitrust.org/Record/008509672","HathiTrust Record")</f>
        <v/>
      </c>
      <c r="AS138">
        <f>HYPERLINK("https://creighton-primo.hosted.exlibrisgroup.com/primo-explore/search?tab=default_tab&amp;search_scope=EVERYTHING&amp;vid=01CRU&amp;lang=en_US&amp;offset=0&amp;query=any,contains,991002016859702656","Catalog Record")</f>
        <v/>
      </c>
      <c r="AT138">
        <f>HYPERLINK("http://www.worldcat.org/oclc/25632713","WorldCat Record")</f>
        <v/>
      </c>
      <c r="AU138" t="inlineStr">
        <is>
          <t>836891901:eng</t>
        </is>
      </c>
      <c r="AV138" t="inlineStr">
        <is>
          <t>25632713</t>
        </is>
      </c>
      <c r="AW138" t="inlineStr">
        <is>
          <t>991002016859702656</t>
        </is>
      </c>
      <c r="AX138" t="inlineStr">
        <is>
          <t>991002016859702656</t>
        </is>
      </c>
      <c r="AY138" t="inlineStr">
        <is>
          <t>2268157130002656</t>
        </is>
      </c>
      <c r="AZ138" t="inlineStr">
        <is>
          <t>BOOK</t>
        </is>
      </c>
      <c r="BB138" t="inlineStr">
        <is>
          <t>9780486271262</t>
        </is>
      </c>
      <c r="BC138" t="inlineStr">
        <is>
          <t>32285002434032</t>
        </is>
      </c>
      <c r="BD138" t="inlineStr">
        <is>
          <t>893322473</t>
        </is>
      </c>
    </row>
    <row r="139">
      <c r="A139" t="inlineStr">
        <is>
          <t>No</t>
        </is>
      </c>
      <c r="B139" t="inlineStr">
        <is>
          <t>NA423.B86 A2</t>
        </is>
      </c>
      <c r="C139" t="inlineStr">
        <is>
          <t>0                      NA 0423000B  86                 A  2</t>
        </is>
      </c>
      <c r="D139" t="inlineStr">
        <is>
          <t>The architecture of Michelangelo [by] James S. Ackerman. With a catalogue of Michelangelo's works by James S. Ackerman and John Newman.</t>
        </is>
      </c>
      <c r="F139" t="inlineStr">
        <is>
          <t>No</t>
        </is>
      </c>
      <c r="G139" t="inlineStr">
        <is>
          <t>1</t>
        </is>
      </c>
      <c r="H139" t="inlineStr">
        <is>
          <t>No</t>
        </is>
      </c>
      <c r="I139" t="inlineStr">
        <is>
          <t>No</t>
        </is>
      </c>
      <c r="J139" t="inlineStr">
        <is>
          <t>0</t>
        </is>
      </c>
      <c r="K139" t="inlineStr">
        <is>
          <t>Ackerman, James S.</t>
        </is>
      </c>
      <c r="L139" t="inlineStr">
        <is>
          <t>[Harmondsworth, Eng., Baltimore, Penguin Books, c1971]</t>
        </is>
      </c>
      <c r="M139" t="inlineStr">
        <is>
          <t>1971</t>
        </is>
      </c>
      <c r="O139" t="inlineStr">
        <is>
          <t>eng</t>
        </is>
      </c>
      <c r="P139" t="inlineStr">
        <is>
          <t>enk</t>
        </is>
      </c>
      <c r="Q139" t="inlineStr">
        <is>
          <t>Pelican books</t>
        </is>
      </c>
      <c r="R139" t="inlineStr">
        <is>
          <t xml:space="preserve">NA </t>
        </is>
      </c>
      <c r="S139" t="n">
        <v>6</v>
      </c>
      <c r="T139" t="n">
        <v>6</v>
      </c>
      <c r="U139" t="inlineStr">
        <is>
          <t>1999-03-11</t>
        </is>
      </c>
      <c r="V139" t="inlineStr">
        <is>
          <t>1999-03-11</t>
        </is>
      </c>
      <c r="W139" t="inlineStr">
        <is>
          <t>1998-03-06</t>
        </is>
      </c>
      <c r="X139" t="inlineStr">
        <is>
          <t>1998-03-06</t>
        </is>
      </c>
      <c r="Y139" t="n">
        <v>77</v>
      </c>
      <c r="Z139" t="n">
        <v>72</v>
      </c>
      <c r="AA139" t="n">
        <v>1094</v>
      </c>
      <c r="AB139" t="n">
        <v>2</v>
      </c>
      <c r="AC139" t="n">
        <v>5</v>
      </c>
      <c r="AD139" t="n">
        <v>6</v>
      </c>
      <c r="AE139" t="n">
        <v>38</v>
      </c>
      <c r="AF139" t="n">
        <v>2</v>
      </c>
      <c r="AG139" t="n">
        <v>16</v>
      </c>
      <c r="AH139" t="n">
        <v>1</v>
      </c>
      <c r="AI139" t="n">
        <v>10</v>
      </c>
      <c r="AJ139" t="n">
        <v>4</v>
      </c>
      <c r="AK139" t="n">
        <v>20</v>
      </c>
      <c r="AL139" t="n">
        <v>1</v>
      </c>
      <c r="AM139" t="n">
        <v>2</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HYPERLINK("https://creighton-primo.hosted.exlibrisgroup.com/primo-explore/search?tab=default_tab&amp;search_scope=EVERYTHING&amp;vid=01CRU&amp;lang=en_US&amp;offset=0&amp;query=any,contains,991005170709702656","Catalog Record")</f>
        <v/>
      </c>
      <c r="AT139">
        <f>HYPERLINK("http://www.worldcat.org/oclc/7865300","WorldCat Record")</f>
        <v/>
      </c>
      <c r="AU139" t="inlineStr">
        <is>
          <t>9593616231:eng</t>
        </is>
      </c>
      <c r="AV139" t="inlineStr">
        <is>
          <t>7865300</t>
        </is>
      </c>
      <c r="AW139" t="inlineStr">
        <is>
          <t>991005170709702656</t>
        </is>
      </c>
      <c r="AX139" t="inlineStr">
        <is>
          <t>991005170709702656</t>
        </is>
      </c>
      <c r="AY139" t="inlineStr">
        <is>
          <t>2270374330002656</t>
        </is>
      </c>
      <c r="AZ139" t="inlineStr">
        <is>
          <t>BOOK</t>
        </is>
      </c>
      <c r="BC139" t="inlineStr">
        <is>
          <t>32285003261129</t>
        </is>
      </c>
      <c r="BD139" t="inlineStr">
        <is>
          <t>893260662</t>
        </is>
      </c>
    </row>
    <row r="140">
      <c r="A140" t="inlineStr">
        <is>
          <t>No</t>
        </is>
      </c>
      <c r="B140" t="inlineStr">
        <is>
          <t>NA4412.N2 N4</t>
        </is>
      </c>
      <c r="C140" t="inlineStr">
        <is>
          <t>0                      NA 4412000N  2                  N  4</t>
        </is>
      </c>
      <c r="D140" t="inlineStr">
        <is>
          <t>Nebraska's memorial capitol / by Leonard R. Nelson.</t>
        </is>
      </c>
      <c r="F140" t="inlineStr">
        <is>
          <t>No</t>
        </is>
      </c>
      <c r="G140" t="inlineStr">
        <is>
          <t>1</t>
        </is>
      </c>
      <c r="H140" t="inlineStr">
        <is>
          <t>No</t>
        </is>
      </c>
      <c r="I140" t="inlineStr">
        <is>
          <t>No</t>
        </is>
      </c>
      <c r="J140" t="inlineStr">
        <is>
          <t>0</t>
        </is>
      </c>
      <c r="K140" t="inlineStr">
        <is>
          <t>Nelson, Leonard Rowell.</t>
        </is>
      </c>
      <c r="L140" t="inlineStr">
        <is>
          <t>Lincoln, Neb. : [Printed by Woodruff printing company], 1931.</t>
        </is>
      </c>
      <c r="M140" t="inlineStr">
        <is>
          <t>1931</t>
        </is>
      </c>
      <c r="O140" t="inlineStr">
        <is>
          <t>eng</t>
        </is>
      </c>
      <c r="P140" t="inlineStr">
        <is>
          <t xml:space="preserve">xx </t>
        </is>
      </c>
      <c r="R140" t="inlineStr">
        <is>
          <t xml:space="preserve">NA </t>
        </is>
      </c>
      <c r="S140" t="n">
        <v>3</v>
      </c>
      <c r="T140" t="n">
        <v>3</v>
      </c>
      <c r="U140" t="inlineStr">
        <is>
          <t>2009-10-15</t>
        </is>
      </c>
      <c r="V140" t="inlineStr">
        <is>
          <t>2009-10-15</t>
        </is>
      </c>
      <c r="W140" t="inlineStr">
        <is>
          <t>1993-08-03</t>
        </is>
      </c>
      <c r="X140" t="inlineStr">
        <is>
          <t>1993-08-03</t>
        </is>
      </c>
      <c r="Y140" t="n">
        <v>49</v>
      </c>
      <c r="Z140" t="n">
        <v>49</v>
      </c>
      <c r="AA140" t="n">
        <v>51</v>
      </c>
      <c r="AB140" t="n">
        <v>20</v>
      </c>
      <c r="AC140" t="n">
        <v>20</v>
      </c>
      <c r="AD140" t="n">
        <v>7</v>
      </c>
      <c r="AE140" t="n">
        <v>7</v>
      </c>
      <c r="AF140" t="n">
        <v>0</v>
      </c>
      <c r="AG140" t="n">
        <v>0</v>
      </c>
      <c r="AH140" t="n">
        <v>0</v>
      </c>
      <c r="AI140" t="n">
        <v>0</v>
      </c>
      <c r="AJ140" t="n">
        <v>0</v>
      </c>
      <c r="AK140" t="n">
        <v>0</v>
      </c>
      <c r="AL140" t="n">
        <v>7</v>
      </c>
      <c r="AM140" t="n">
        <v>7</v>
      </c>
      <c r="AN140" t="n">
        <v>0</v>
      </c>
      <c r="AO140" t="n">
        <v>0</v>
      </c>
      <c r="AP140" t="inlineStr">
        <is>
          <t>Yes</t>
        </is>
      </c>
      <c r="AQ140" t="inlineStr">
        <is>
          <t>No</t>
        </is>
      </c>
      <c r="AR140">
        <f>HYPERLINK("http://catalog.hathitrust.org/Record/102451958","HathiTrust Record")</f>
        <v/>
      </c>
      <c r="AS140">
        <f>HYPERLINK("https://creighton-primo.hosted.exlibrisgroup.com/primo-explore/search?tab=default_tab&amp;search_scope=EVERYTHING&amp;vid=01CRU&amp;lang=en_US&amp;offset=0&amp;query=any,contains,991004405019702656","Catalog Record")</f>
        <v/>
      </c>
      <c r="AT140">
        <f>HYPERLINK("http://www.worldcat.org/oclc/3317187","WorldCat Record")</f>
        <v/>
      </c>
      <c r="AU140" t="inlineStr">
        <is>
          <t>9548371:eng</t>
        </is>
      </c>
      <c r="AV140" t="inlineStr">
        <is>
          <t>3317187</t>
        </is>
      </c>
      <c r="AW140" t="inlineStr">
        <is>
          <t>991004405019702656</t>
        </is>
      </c>
      <c r="AX140" t="inlineStr">
        <is>
          <t>991004405019702656</t>
        </is>
      </c>
      <c r="AY140" t="inlineStr">
        <is>
          <t>2266180860002656</t>
        </is>
      </c>
      <c r="AZ140" t="inlineStr">
        <is>
          <t>BOOK</t>
        </is>
      </c>
      <c r="BC140" t="inlineStr">
        <is>
          <t>32285001748440</t>
        </is>
      </c>
      <c r="BD140" t="inlineStr">
        <is>
          <t>893882440</t>
        </is>
      </c>
    </row>
    <row r="141">
      <c r="A141" t="inlineStr">
        <is>
          <t>No</t>
        </is>
      </c>
      <c r="B141" t="inlineStr">
        <is>
          <t>NA4413.L56 H37 1990</t>
        </is>
      </c>
      <c r="C141" t="inlineStr">
        <is>
          <t>0                      NA 4413000L  56                 H  37          1990</t>
        </is>
      </c>
      <c r="D141" t="inlineStr">
        <is>
          <t>A Harmony of the arts : the Nebraska state capitol / edited by Frederick C. Luebke.</t>
        </is>
      </c>
      <c r="F141" t="inlineStr">
        <is>
          <t>No</t>
        </is>
      </c>
      <c r="G141" t="inlineStr">
        <is>
          <t>1</t>
        </is>
      </c>
      <c r="H141" t="inlineStr">
        <is>
          <t>No</t>
        </is>
      </c>
      <c r="I141" t="inlineStr">
        <is>
          <t>No</t>
        </is>
      </c>
      <c r="J141" t="inlineStr">
        <is>
          <t>0</t>
        </is>
      </c>
      <c r="L141" t="inlineStr">
        <is>
          <t>Lincoln : University of Nebraska Press, c1990.</t>
        </is>
      </c>
      <c r="M141" t="inlineStr">
        <is>
          <t>1989</t>
        </is>
      </c>
      <c r="O141" t="inlineStr">
        <is>
          <t>eng</t>
        </is>
      </c>
      <c r="P141" t="inlineStr">
        <is>
          <t>nbu</t>
        </is>
      </c>
      <c r="R141" t="inlineStr">
        <is>
          <t xml:space="preserve">NA </t>
        </is>
      </c>
      <c r="S141" t="n">
        <v>9</v>
      </c>
      <c r="T141" t="n">
        <v>9</v>
      </c>
      <c r="U141" t="inlineStr">
        <is>
          <t>2009-10-15</t>
        </is>
      </c>
      <c r="V141" t="inlineStr">
        <is>
          <t>2009-10-15</t>
        </is>
      </c>
      <c r="W141" t="inlineStr">
        <is>
          <t>1990-07-20</t>
        </is>
      </c>
      <c r="X141" t="inlineStr">
        <is>
          <t>1990-07-20</t>
        </is>
      </c>
      <c r="Y141" t="n">
        <v>235</v>
      </c>
      <c r="Z141" t="n">
        <v>212</v>
      </c>
      <c r="AA141" t="n">
        <v>218</v>
      </c>
      <c r="AB141" t="n">
        <v>48</v>
      </c>
      <c r="AC141" t="n">
        <v>49</v>
      </c>
      <c r="AD141" t="n">
        <v>19</v>
      </c>
      <c r="AE141" t="n">
        <v>19</v>
      </c>
      <c r="AF141" t="n">
        <v>2</v>
      </c>
      <c r="AG141" t="n">
        <v>2</v>
      </c>
      <c r="AH141" t="n">
        <v>2</v>
      </c>
      <c r="AI141" t="n">
        <v>2</v>
      </c>
      <c r="AJ141" t="n">
        <v>1</v>
      </c>
      <c r="AK141" t="n">
        <v>1</v>
      </c>
      <c r="AL141" t="n">
        <v>15</v>
      </c>
      <c r="AM141" t="n">
        <v>15</v>
      </c>
      <c r="AN141" t="n">
        <v>0</v>
      </c>
      <c r="AO141" t="n">
        <v>0</v>
      </c>
      <c r="AP141" t="inlineStr">
        <is>
          <t>No</t>
        </is>
      </c>
      <c r="AQ141" t="inlineStr">
        <is>
          <t>Yes</t>
        </is>
      </c>
      <c r="AR141">
        <f>HYPERLINK("http://catalog.hathitrust.org/Record/002232598","HathiTrust Record")</f>
        <v/>
      </c>
      <c r="AS141">
        <f>HYPERLINK("https://creighton-primo.hosted.exlibrisgroup.com/primo-explore/search?tab=default_tab&amp;search_scope=EVERYTHING&amp;vid=01CRU&amp;lang=en_US&amp;offset=0&amp;query=any,contains,991001450059702656","Catalog Record")</f>
        <v/>
      </c>
      <c r="AT141">
        <f>HYPERLINK("http://www.worldcat.org/oclc/19323830","WorldCat Record")</f>
        <v/>
      </c>
      <c r="AU141" t="inlineStr">
        <is>
          <t>836864433:eng</t>
        </is>
      </c>
      <c r="AV141" t="inlineStr">
        <is>
          <t>19323830</t>
        </is>
      </c>
      <c r="AW141" t="inlineStr">
        <is>
          <t>991001450059702656</t>
        </is>
      </c>
      <c r="AX141" t="inlineStr">
        <is>
          <t>991001450059702656</t>
        </is>
      </c>
      <c r="AY141" t="inlineStr">
        <is>
          <t>2268804800002656</t>
        </is>
      </c>
      <c r="AZ141" t="inlineStr">
        <is>
          <t>BOOK</t>
        </is>
      </c>
      <c r="BB141" t="inlineStr">
        <is>
          <t>9780803228870</t>
        </is>
      </c>
      <c r="BC141" t="inlineStr">
        <is>
          <t>32285000209915</t>
        </is>
      </c>
      <c r="BD141" t="inlineStr">
        <is>
          <t>893439147</t>
        </is>
      </c>
    </row>
    <row r="142">
      <c r="A142" t="inlineStr">
        <is>
          <t>No</t>
        </is>
      </c>
      <c r="B142" t="inlineStr">
        <is>
          <t>NA4415.G3 B44 2000</t>
        </is>
      </c>
      <c r="C142" t="inlineStr">
        <is>
          <t>0                      NA 4415000G  3                  B  44          2000</t>
        </is>
      </c>
      <c r="D142" t="inlineStr">
        <is>
          <t>Rebuilding the Reichstag / Norman Foster.</t>
        </is>
      </c>
      <c r="F142" t="inlineStr">
        <is>
          <t>No</t>
        </is>
      </c>
      <c r="G142" t="inlineStr">
        <is>
          <t>1</t>
        </is>
      </c>
      <c r="H142" t="inlineStr">
        <is>
          <t>No</t>
        </is>
      </c>
      <c r="I142" t="inlineStr">
        <is>
          <t>No</t>
        </is>
      </c>
      <c r="J142" t="inlineStr">
        <is>
          <t>0</t>
        </is>
      </c>
      <c r="K142" t="inlineStr">
        <is>
          <t>Foster, Norman, 1935-</t>
        </is>
      </c>
      <c r="L142" t="inlineStr">
        <is>
          <t>Woodstock, N.Y. : Overlook Press, 2000.</t>
        </is>
      </c>
      <c r="M142" t="inlineStr">
        <is>
          <t>2000</t>
        </is>
      </c>
      <c r="O142" t="inlineStr">
        <is>
          <t>eng</t>
        </is>
      </c>
      <c r="P142" t="inlineStr">
        <is>
          <t>nyu</t>
        </is>
      </c>
      <c r="R142" t="inlineStr">
        <is>
          <t xml:space="preserve">NA </t>
        </is>
      </c>
      <c r="S142" t="n">
        <v>1</v>
      </c>
      <c r="T142" t="n">
        <v>1</v>
      </c>
      <c r="U142" t="inlineStr">
        <is>
          <t>2007-06-01</t>
        </is>
      </c>
      <c r="V142" t="inlineStr">
        <is>
          <t>2007-06-01</t>
        </is>
      </c>
      <c r="W142" t="inlineStr">
        <is>
          <t>2003-03-13</t>
        </is>
      </c>
      <c r="X142" t="inlineStr">
        <is>
          <t>2003-03-13</t>
        </is>
      </c>
      <c r="Y142" t="n">
        <v>187</v>
      </c>
      <c r="Z142" t="n">
        <v>165</v>
      </c>
      <c r="AA142" t="n">
        <v>186</v>
      </c>
      <c r="AB142" t="n">
        <v>3</v>
      </c>
      <c r="AC142" t="n">
        <v>3</v>
      </c>
      <c r="AD142" t="n">
        <v>7</v>
      </c>
      <c r="AE142" t="n">
        <v>7</v>
      </c>
      <c r="AF142" t="n">
        <v>1</v>
      </c>
      <c r="AG142" t="n">
        <v>1</v>
      </c>
      <c r="AH142" t="n">
        <v>1</v>
      </c>
      <c r="AI142" t="n">
        <v>1</v>
      </c>
      <c r="AJ142" t="n">
        <v>4</v>
      </c>
      <c r="AK142" t="n">
        <v>4</v>
      </c>
      <c r="AL142" t="n">
        <v>1</v>
      </c>
      <c r="AM142" t="n">
        <v>1</v>
      </c>
      <c r="AN142" t="n">
        <v>0</v>
      </c>
      <c r="AO142" t="n">
        <v>0</v>
      </c>
      <c r="AP142" t="inlineStr">
        <is>
          <t>No</t>
        </is>
      </c>
      <c r="AQ142" t="inlineStr">
        <is>
          <t>Yes</t>
        </is>
      </c>
      <c r="AR142">
        <f>HYPERLINK("http://catalog.hathitrust.org/Record/008509703","HathiTrust Record")</f>
        <v/>
      </c>
      <c r="AS142">
        <f>HYPERLINK("https://creighton-primo.hosted.exlibrisgroup.com/primo-explore/search?tab=default_tab&amp;search_scope=EVERYTHING&amp;vid=01CRU&amp;lang=en_US&amp;offset=0&amp;query=any,contains,991004012449702656","Catalog Record")</f>
        <v/>
      </c>
      <c r="AT142">
        <f>HYPERLINK("http://www.worldcat.org/oclc/41649612","WorldCat Record")</f>
        <v/>
      </c>
      <c r="AU142" t="inlineStr">
        <is>
          <t>26865041:eng</t>
        </is>
      </c>
      <c r="AV142" t="inlineStr">
        <is>
          <t>41649612</t>
        </is>
      </c>
      <c r="AW142" t="inlineStr">
        <is>
          <t>991004012449702656</t>
        </is>
      </c>
      <c r="AX142" t="inlineStr">
        <is>
          <t>991004012449702656</t>
        </is>
      </c>
      <c r="AY142" t="inlineStr">
        <is>
          <t>2260047590002656</t>
        </is>
      </c>
      <c r="AZ142" t="inlineStr">
        <is>
          <t>BOOK</t>
        </is>
      </c>
      <c r="BB142" t="inlineStr">
        <is>
          <t>9780879517151</t>
        </is>
      </c>
      <c r="BC142" t="inlineStr">
        <is>
          <t>32285004683933</t>
        </is>
      </c>
      <c r="BD142" t="inlineStr">
        <is>
          <t>893599315</t>
        </is>
      </c>
    </row>
    <row r="143">
      <c r="A143" t="inlineStr">
        <is>
          <t>No</t>
        </is>
      </c>
      <c r="B143" t="inlineStr">
        <is>
          <t>NA4415.G3 B4713 2000</t>
        </is>
      </c>
      <c r="C143" t="inlineStr">
        <is>
          <t>0                      NA 4415000G  3                  B  4713        2000</t>
        </is>
      </c>
      <c r="D143" t="inlineStr">
        <is>
          <t>The Reichstag : the Parliament building by Norman Foster / Bernhard Schulz ; foreword, Wolfgang Thierse ; preface, Norman Foster.</t>
        </is>
      </c>
      <c r="F143" t="inlineStr">
        <is>
          <t>No</t>
        </is>
      </c>
      <c r="G143" t="inlineStr">
        <is>
          <t>1</t>
        </is>
      </c>
      <c r="H143" t="inlineStr">
        <is>
          <t>No</t>
        </is>
      </c>
      <c r="I143" t="inlineStr">
        <is>
          <t>No</t>
        </is>
      </c>
      <c r="J143" t="inlineStr">
        <is>
          <t>0</t>
        </is>
      </c>
      <c r="K143" t="inlineStr">
        <is>
          <t>Schulz, Bernhard, 1953-</t>
        </is>
      </c>
      <c r="L143" t="inlineStr">
        <is>
          <t>Munich ; New York : Prestel, c2000.</t>
        </is>
      </c>
      <c r="M143" t="inlineStr">
        <is>
          <t>2000</t>
        </is>
      </c>
      <c r="O143" t="inlineStr">
        <is>
          <t>eng</t>
        </is>
      </c>
      <c r="P143" t="inlineStr">
        <is>
          <t xml:space="preserve">gw </t>
        </is>
      </c>
      <c r="R143" t="inlineStr">
        <is>
          <t xml:space="preserve">NA </t>
        </is>
      </c>
      <c r="S143" t="n">
        <v>1</v>
      </c>
      <c r="T143" t="n">
        <v>1</v>
      </c>
      <c r="U143" t="inlineStr">
        <is>
          <t>2004-11-08</t>
        </is>
      </c>
      <c r="V143" t="inlineStr">
        <is>
          <t>2004-11-08</t>
        </is>
      </c>
      <c r="W143" t="inlineStr">
        <is>
          <t>2003-04-09</t>
        </is>
      </c>
      <c r="X143" t="inlineStr">
        <is>
          <t>2003-04-09</t>
        </is>
      </c>
      <c r="Y143" t="n">
        <v>207</v>
      </c>
      <c r="Z143" t="n">
        <v>136</v>
      </c>
      <c r="AA143" t="n">
        <v>150</v>
      </c>
      <c r="AB143" t="n">
        <v>3</v>
      </c>
      <c r="AC143" t="n">
        <v>3</v>
      </c>
      <c r="AD143" t="n">
        <v>8</v>
      </c>
      <c r="AE143" t="n">
        <v>8</v>
      </c>
      <c r="AF143" t="n">
        <v>1</v>
      </c>
      <c r="AG143" t="n">
        <v>1</v>
      </c>
      <c r="AH143" t="n">
        <v>3</v>
      </c>
      <c r="AI143" t="n">
        <v>3</v>
      </c>
      <c r="AJ143" t="n">
        <v>5</v>
      </c>
      <c r="AK143" t="n">
        <v>5</v>
      </c>
      <c r="AL143" t="n">
        <v>1</v>
      </c>
      <c r="AM143" t="n">
        <v>1</v>
      </c>
      <c r="AN143" t="n">
        <v>0</v>
      </c>
      <c r="AO143" t="n">
        <v>0</v>
      </c>
      <c r="AP143" t="inlineStr">
        <is>
          <t>No</t>
        </is>
      </c>
      <c r="AQ143" t="inlineStr">
        <is>
          <t>Yes</t>
        </is>
      </c>
      <c r="AR143">
        <f>HYPERLINK("http://catalog.hathitrust.org/Record/005942239","HathiTrust Record")</f>
        <v/>
      </c>
      <c r="AS143">
        <f>HYPERLINK("https://creighton-primo.hosted.exlibrisgroup.com/primo-explore/search?tab=default_tab&amp;search_scope=EVERYTHING&amp;vid=01CRU&amp;lang=en_US&amp;offset=0&amp;query=any,contains,991004012329702656","Catalog Record")</f>
        <v/>
      </c>
      <c r="AT143">
        <f>HYPERLINK("http://www.worldcat.org/oclc/45669102","WorldCat Record")</f>
        <v/>
      </c>
      <c r="AU143" t="inlineStr">
        <is>
          <t>1102068738:eng</t>
        </is>
      </c>
      <c r="AV143" t="inlineStr">
        <is>
          <t>45669102</t>
        </is>
      </c>
      <c r="AW143" t="inlineStr">
        <is>
          <t>991004012329702656</t>
        </is>
      </c>
      <c r="AX143" t="inlineStr">
        <is>
          <t>991004012329702656</t>
        </is>
      </c>
      <c r="AY143" t="inlineStr">
        <is>
          <t>2272696520002656</t>
        </is>
      </c>
      <c r="AZ143" t="inlineStr">
        <is>
          <t>BOOK</t>
        </is>
      </c>
      <c r="BB143" t="inlineStr">
        <is>
          <t>9783791321530</t>
        </is>
      </c>
      <c r="BC143" t="inlineStr">
        <is>
          <t>32285004741483</t>
        </is>
      </c>
      <c r="BD143" t="inlineStr">
        <is>
          <t>893531872</t>
        </is>
      </c>
    </row>
    <row r="144">
      <c r="A144" t="inlineStr">
        <is>
          <t>No</t>
        </is>
      </c>
      <c r="B144" t="inlineStr">
        <is>
          <t>NA4415.G72 L664</t>
        </is>
      </c>
      <c r="C144" t="inlineStr">
        <is>
          <t>0                      NA 4415000G  72                 L  664</t>
        </is>
      </c>
      <c r="D144" t="inlineStr">
        <is>
          <t>The Houses of Parliament / edited by M. H. Port.</t>
        </is>
      </c>
      <c r="F144" t="inlineStr">
        <is>
          <t>No</t>
        </is>
      </c>
      <c r="G144" t="inlineStr">
        <is>
          <t>1</t>
        </is>
      </c>
      <c r="H144" t="inlineStr">
        <is>
          <t>No</t>
        </is>
      </c>
      <c r="I144" t="inlineStr">
        <is>
          <t>No</t>
        </is>
      </c>
      <c r="J144" t="inlineStr">
        <is>
          <t>0</t>
        </is>
      </c>
      <c r="L144" t="inlineStr">
        <is>
          <t>New Haven : Published for the Paul Mellon Centre for Studies in British Art (London) by Yale University Press, 1976.</t>
        </is>
      </c>
      <c r="M144" t="inlineStr">
        <is>
          <t>1976</t>
        </is>
      </c>
      <c r="O144" t="inlineStr">
        <is>
          <t>eng</t>
        </is>
      </c>
      <c r="P144" t="inlineStr">
        <is>
          <t>ctu</t>
        </is>
      </c>
      <c r="Q144" t="inlineStr">
        <is>
          <t>Studies in British art</t>
        </is>
      </c>
      <c r="R144" t="inlineStr">
        <is>
          <t xml:space="preserve">NA </t>
        </is>
      </c>
      <c r="S144" t="n">
        <v>2</v>
      </c>
      <c r="T144" t="n">
        <v>2</v>
      </c>
      <c r="U144" t="inlineStr">
        <is>
          <t>1998-02-27</t>
        </is>
      </c>
      <c r="V144" t="inlineStr">
        <is>
          <t>1998-02-27</t>
        </is>
      </c>
      <c r="W144" t="inlineStr">
        <is>
          <t>1997-07-01</t>
        </is>
      </c>
      <c r="X144" t="inlineStr">
        <is>
          <t>1997-07-01</t>
        </is>
      </c>
      <c r="Y144" t="n">
        <v>598</v>
      </c>
      <c r="Z144" t="n">
        <v>433</v>
      </c>
      <c r="AA144" t="n">
        <v>434</v>
      </c>
      <c r="AB144" t="n">
        <v>4</v>
      </c>
      <c r="AC144" t="n">
        <v>4</v>
      </c>
      <c r="AD144" t="n">
        <v>16</v>
      </c>
      <c r="AE144" t="n">
        <v>16</v>
      </c>
      <c r="AF144" t="n">
        <v>3</v>
      </c>
      <c r="AG144" t="n">
        <v>3</v>
      </c>
      <c r="AH144" t="n">
        <v>6</v>
      </c>
      <c r="AI144" t="n">
        <v>6</v>
      </c>
      <c r="AJ144" t="n">
        <v>7</v>
      </c>
      <c r="AK144" t="n">
        <v>7</v>
      </c>
      <c r="AL144" t="n">
        <v>3</v>
      </c>
      <c r="AM144" t="n">
        <v>3</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HYPERLINK("https://creighton-primo.hosted.exlibrisgroup.com/primo-explore/search?tab=default_tab&amp;search_scope=EVERYTHING&amp;vid=01CRU&amp;lang=en_US&amp;offset=0&amp;query=any,contains,991004168589702656","Catalog Record")</f>
        <v/>
      </c>
      <c r="AT144">
        <f>HYPERLINK("http://www.worldcat.org/oclc/2572927","WorldCat Record")</f>
        <v/>
      </c>
      <c r="AU144" t="inlineStr">
        <is>
          <t>54140480:eng</t>
        </is>
      </c>
      <c r="AV144" t="inlineStr">
        <is>
          <t>2572927</t>
        </is>
      </c>
      <c r="AW144" t="inlineStr">
        <is>
          <t>991004168589702656</t>
        </is>
      </c>
      <c r="AX144" t="inlineStr">
        <is>
          <t>991004168589702656</t>
        </is>
      </c>
      <c r="AY144" t="inlineStr">
        <is>
          <t>2263866000002656</t>
        </is>
      </c>
      <c r="AZ144" t="inlineStr">
        <is>
          <t>BOOK</t>
        </is>
      </c>
      <c r="BB144" t="inlineStr">
        <is>
          <t>9780300020229</t>
        </is>
      </c>
      <c r="BC144" t="inlineStr">
        <is>
          <t>32285002862471</t>
        </is>
      </c>
      <c r="BD144" t="inlineStr">
        <is>
          <t>893423468</t>
        </is>
      </c>
    </row>
    <row r="145">
      <c r="A145" t="inlineStr">
        <is>
          <t>No</t>
        </is>
      </c>
      <c r="B145" t="inlineStr">
        <is>
          <t>NA4443.W3 R9 1980</t>
        </is>
      </c>
      <c r="C145" t="inlineStr">
        <is>
          <t>0                      NA 4443000W  3                  R  9           1980</t>
        </is>
      </c>
      <c r="D145" t="inlineStr">
        <is>
          <t>The White House : an architectural history / by William Ryan and Desmond Guinness.</t>
        </is>
      </c>
      <c r="F145" t="inlineStr">
        <is>
          <t>No</t>
        </is>
      </c>
      <c r="G145" t="inlineStr">
        <is>
          <t>1</t>
        </is>
      </c>
      <c r="H145" t="inlineStr">
        <is>
          <t>No</t>
        </is>
      </c>
      <c r="I145" t="inlineStr">
        <is>
          <t>No</t>
        </is>
      </c>
      <c r="J145" t="inlineStr">
        <is>
          <t>0</t>
        </is>
      </c>
      <c r="K145" t="inlineStr">
        <is>
          <t>Ryan, William, 1914-</t>
        </is>
      </c>
      <c r="L145" t="inlineStr">
        <is>
          <t>New York : McGraw-Hill, c1980.</t>
        </is>
      </c>
      <c r="M145" t="inlineStr">
        <is>
          <t>1980</t>
        </is>
      </c>
      <c r="O145" t="inlineStr">
        <is>
          <t>eng</t>
        </is>
      </c>
      <c r="P145" t="inlineStr">
        <is>
          <t>nyu</t>
        </is>
      </c>
      <c r="R145" t="inlineStr">
        <is>
          <t xml:space="preserve">NA </t>
        </is>
      </c>
      <c r="S145" t="n">
        <v>2</v>
      </c>
      <c r="T145" t="n">
        <v>2</v>
      </c>
      <c r="U145" t="inlineStr">
        <is>
          <t>2009-03-04</t>
        </is>
      </c>
      <c r="V145" t="inlineStr">
        <is>
          <t>2009-03-04</t>
        </is>
      </c>
      <c r="W145" t="inlineStr">
        <is>
          <t>1993-05-14</t>
        </is>
      </c>
      <c r="X145" t="inlineStr">
        <is>
          <t>1993-05-14</t>
        </is>
      </c>
      <c r="Y145" t="n">
        <v>756</v>
      </c>
      <c r="Z145" t="n">
        <v>702</v>
      </c>
      <c r="AA145" t="n">
        <v>711</v>
      </c>
      <c r="AB145" t="n">
        <v>5</v>
      </c>
      <c r="AC145" t="n">
        <v>5</v>
      </c>
      <c r="AD145" t="n">
        <v>12</v>
      </c>
      <c r="AE145" t="n">
        <v>12</v>
      </c>
      <c r="AF145" t="n">
        <v>2</v>
      </c>
      <c r="AG145" t="n">
        <v>2</v>
      </c>
      <c r="AH145" t="n">
        <v>4</v>
      </c>
      <c r="AI145" t="n">
        <v>4</v>
      </c>
      <c r="AJ145" t="n">
        <v>5</v>
      </c>
      <c r="AK145" t="n">
        <v>5</v>
      </c>
      <c r="AL145" t="n">
        <v>2</v>
      </c>
      <c r="AM145" t="n">
        <v>2</v>
      </c>
      <c r="AN145" t="n">
        <v>0</v>
      </c>
      <c r="AO145" t="n">
        <v>0</v>
      </c>
      <c r="AP145" t="inlineStr">
        <is>
          <t>No</t>
        </is>
      </c>
      <c r="AQ145" t="inlineStr">
        <is>
          <t>Yes</t>
        </is>
      </c>
      <c r="AR145">
        <f>HYPERLINK("http://catalog.hathitrust.org/Record/000689872","HathiTrust Record")</f>
        <v/>
      </c>
      <c r="AS145">
        <f>HYPERLINK("https://creighton-primo.hosted.exlibrisgroup.com/primo-explore/search?tab=default_tab&amp;search_scope=EVERYTHING&amp;vid=01CRU&amp;lang=en_US&amp;offset=0&amp;query=any,contains,991004911409702656","Catalog Record")</f>
        <v/>
      </c>
      <c r="AT145">
        <f>HYPERLINK("http://www.worldcat.org/oclc/5992351","WorldCat Record")</f>
        <v/>
      </c>
      <c r="AU145" t="inlineStr">
        <is>
          <t>406334:eng</t>
        </is>
      </c>
      <c r="AV145" t="inlineStr">
        <is>
          <t>5992351</t>
        </is>
      </c>
      <c r="AW145" t="inlineStr">
        <is>
          <t>991004911409702656</t>
        </is>
      </c>
      <c r="AX145" t="inlineStr">
        <is>
          <t>991004911409702656</t>
        </is>
      </c>
      <c r="AY145" t="inlineStr">
        <is>
          <t>2261688820002656</t>
        </is>
      </c>
      <c r="AZ145" t="inlineStr">
        <is>
          <t>BOOK</t>
        </is>
      </c>
      <c r="BB145" t="inlineStr">
        <is>
          <t>9780070543522</t>
        </is>
      </c>
      <c r="BC145" t="inlineStr">
        <is>
          <t>32285001657963</t>
        </is>
      </c>
      <c r="BD145" t="inlineStr">
        <is>
          <t>893801487</t>
        </is>
      </c>
    </row>
    <row r="146">
      <c r="A146" t="inlineStr">
        <is>
          <t>No</t>
        </is>
      </c>
      <c r="B146" t="inlineStr">
        <is>
          <t>NA4817 .W55 1990</t>
        </is>
      </c>
      <c r="C146" t="inlineStr">
        <is>
          <t>0                      NA 4817000W  55          1990</t>
        </is>
      </c>
      <c r="D146" t="inlineStr">
        <is>
          <t>Building God's house in the Roman world : architectural adaptation among pagans, Jews, and Christians / L. Michael White.</t>
        </is>
      </c>
      <c r="F146" t="inlineStr">
        <is>
          <t>No</t>
        </is>
      </c>
      <c r="G146" t="inlineStr">
        <is>
          <t>1</t>
        </is>
      </c>
      <c r="H146" t="inlineStr">
        <is>
          <t>No</t>
        </is>
      </c>
      <c r="I146" t="inlineStr">
        <is>
          <t>No</t>
        </is>
      </c>
      <c r="J146" t="inlineStr">
        <is>
          <t>0</t>
        </is>
      </c>
      <c r="K146" t="inlineStr">
        <is>
          <t>White, L. Michael.</t>
        </is>
      </c>
      <c r="L146" t="inlineStr">
        <is>
          <t>Baltimore, Md. : Published for the American Schools of Oriental Research by Johns Hopkins University Press, c1990.</t>
        </is>
      </c>
      <c r="M146" t="inlineStr">
        <is>
          <t>1990</t>
        </is>
      </c>
      <c r="O146" t="inlineStr">
        <is>
          <t>eng</t>
        </is>
      </c>
      <c r="P146" t="inlineStr">
        <is>
          <t>mdu</t>
        </is>
      </c>
      <c r="Q146" t="inlineStr">
        <is>
          <t>ASOR library of biblical and Near Eastern archaeology</t>
        </is>
      </c>
      <c r="R146" t="inlineStr">
        <is>
          <t xml:space="preserve">NA </t>
        </is>
      </c>
      <c r="S146" t="n">
        <v>7</v>
      </c>
      <c r="T146" t="n">
        <v>7</v>
      </c>
      <c r="U146" t="inlineStr">
        <is>
          <t>2006-04-24</t>
        </is>
      </c>
      <c r="V146" t="inlineStr">
        <is>
          <t>2006-04-24</t>
        </is>
      </c>
      <c r="W146" t="inlineStr">
        <is>
          <t>1990-06-22</t>
        </is>
      </c>
      <c r="X146" t="inlineStr">
        <is>
          <t>1990-06-22</t>
        </is>
      </c>
      <c r="Y146" t="n">
        <v>598</v>
      </c>
      <c r="Z146" t="n">
        <v>483</v>
      </c>
      <c r="AA146" t="n">
        <v>495</v>
      </c>
      <c r="AB146" t="n">
        <v>3</v>
      </c>
      <c r="AC146" t="n">
        <v>3</v>
      </c>
      <c r="AD146" t="n">
        <v>29</v>
      </c>
      <c r="AE146" t="n">
        <v>29</v>
      </c>
      <c r="AF146" t="n">
        <v>12</v>
      </c>
      <c r="AG146" t="n">
        <v>12</v>
      </c>
      <c r="AH146" t="n">
        <v>7</v>
      </c>
      <c r="AI146" t="n">
        <v>7</v>
      </c>
      <c r="AJ146" t="n">
        <v>15</v>
      </c>
      <c r="AK146" t="n">
        <v>15</v>
      </c>
      <c r="AL146" t="n">
        <v>2</v>
      </c>
      <c r="AM146" t="n">
        <v>2</v>
      </c>
      <c r="AN146" t="n">
        <v>0</v>
      </c>
      <c r="AO146" t="n">
        <v>0</v>
      </c>
      <c r="AP146" t="inlineStr">
        <is>
          <t>Yes</t>
        </is>
      </c>
      <c r="AQ146" t="inlineStr">
        <is>
          <t>No</t>
        </is>
      </c>
      <c r="AR146">
        <f>HYPERLINK("http://catalog.hathitrust.org/Record/002063962","HathiTrust Record")</f>
        <v/>
      </c>
      <c r="AS146">
        <f>HYPERLINK("https://creighton-primo.hosted.exlibrisgroup.com/primo-explore/search?tab=default_tab&amp;search_scope=EVERYTHING&amp;vid=01CRU&amp;lang=en_US&amp;offset=0&amp;query=any,contains,991001481369702656","Catalog Record")</f>
        <v/>
      </c>
      <c r="AT146">
        <f>HYPERLINK("http://www.worldcat.org/oclc/19626119","WorldCat Record")</f>
        <v/>
      </c>
      <c r="AU146" t="inlineStr">
        <is>
          <t>808832668:eng</t>
        </is>
      </c>
      <c r="AV146" t="inlineStr">
        <is>
          <t>19626119</t>
        </is>
      </c>
      <c r="AW146" t="inlineStr">
        <is>
          <t>991001481369702656</t>
        </is>
      </c>
      <c r="AX146" t="inlineStr">
        <is>
          <t>991001481369702656</t>
        </is>
      </c>
      <c r="AY146" t="inlineStr">
        <is>
          <t>2264663330002656</t>
        </is>
      </c>
      <c r="AZ146" t="inlineStr">
        <is>
          <t>BOOK</t>
        </is>
      </c>
      <c r="BB146" t="inlineStr">
        <is>
          <t>9780801839061</t>
        </is>
      </c>
      <c r="BC146" t="inlineStr">
        <is>
          <t>32285000179407</t>
        </is>
      </c>
      <c r="BD146" t="inlineStr">
        <is>
          <t>893420361</t>
        </is>
      </c>
    </row>
    <row r="147">
      <c r="A147" t="inlineStr">
        <is>
          <t>No</t>
        </is>
      </c>
      <c r="B147" t="inlineStr">
        <is>
          <t>NA4820 .A5</t>
        </is>
      </c>
      <c r="C147" t="inlineStr">
        <is>
          <t>0                      NA 4820000A  5</t>
        </is>
      </c>
      <c r="D147" t="inlineStr">
        <is>
          <t>Churches, their plan and furnishing / illus. by the author. Rev. and ed. by Thomas F. Croft-Fraser and H. A. Reinhold.</t>
        </is>
      </c>
      <c r="F147" t="inlineStr">
        <is>
          <t>No</t>
        </is>
      </c>
      <c r="G147" t="inlineStr">
        <is>
          <t>1</t>
        </is>
      </c>
      <c r="H147" t="inlineStr">
        <is>
          <t>No</t>
        </is>
      </c>
      <c r="I147" t="inlineStr">
        <is>
          <t>No</t>
        </is>
      </c>
      <c r="J147" t="inlineStr">
        <is>
          <t>0</t>
        </is>
      </c>
      <c r="K147" t="inlineStr">
        <is>
          <t>Anson, Peter F. (Peter Frederick), 1889-1975.</t>
        </is>
      </c>
      <c r="L147" t="inlineStr">
        <is>
          <t>Milwaukee : Bruce Pub. Co., [1948]</t>
        </is>
      </c>
      <c r="M147" t="inlineStr">
        <is>
          <t>1948</t>
        </is>
      </c>
      <c r="O147" t="inlineStr">
        <is>
          <t>eng</t>
        </is>
      </c>
      <c r="P147" t="inlineStr">
        <is>
          <t>wiu</t>
        </is>
      </c>
      <c r="R147" t="inlineStr">
        <is>
          <t xml:space="preserve">NA </t>
        </is>
      </c>
      <c r="S147" t="n">
        <v>5</v>
      </c>
      <c r="T147" t="n">
        <v>5</v>
      </c>
      <c r="U147" t="inlineStr">
        <is>
          <t>1996-09-19</t>
        </is>
      </c>
      <c r="V147" t="inlineStr">
        <is>
          <t>1996-09-19</t>
        </is>
      </c>
      <c r="W147" t="inlineStr">
        <is>
          <t>1991-05-20</t>
        </is>
      </c>
      <c r="X147" t="inlineStr">
        <is>
          <t>1991-05-20</t>
        </is>
      </c>
      <c r="Y147" t="n">
        <v>252</v>
      </c>
      <c r="Z147" t="n">
        <v>218</v>
      </c>
      <c r="AA147" t="n">
        <v>227</v>
      </c>
      <c r="AB147" t="n">
        <v>2</v>
      </c>
      <c r="AC147" t="n">
        <v>2</v>
      </c>
      <c r="AD147" t="n">
        <v>22</v>
      </c>
      <c r="AE147" t="n">
        <v>22</v>
      </c>
      <c r="AF147" t="n">
        <v>6</v>
      </c>
      <c r="AG147" t="n">
        <v>6</v>
      </c>
      <c r="AH147" t="n">
        <v>5</v>
      </c>
      <c r="AI147" t="n">
        <v>5</v>
      </c>
      <c r="AJ147" t="n">
        <v>15</v>
      </c>
      <c r="AK147" t="n">
        <v>15</v>
      </c>
      <c r="AL147" t="n">
        <v>0</v>
      </c>
      <c r="AM147" t="n">
        <v>0</v>
      </c>
      <c r="AN147" t="n">
        <v>0</v>
      </c>
      <c r="AO147" t="n">
        <v>0</v>
      </c>
      <c r="AP147" t="inlineStr">
        <is>
          <t>No</t>
        </is>
      </c>
      <c r="AQ147" t="inlineStr">
        <is>
          <t>Yes</t>
        </is>
      </c>
      <c r="AR147">
        <f>HYPERLINK("http://catalog.hathitrust.org/Record/007472292","HathiTrust Record")</f>
        <v/>
      </c>
      <c r="AS147">
        <f>HYPERLINK("https://creighton-primo.hosted.exlibrisgroup.com/primo-explore/search?tab=default_tab&amp;search_scope=EVERYTHING&amp;vid=01CRU&amp;lang=en_US&amp;offset=0&amp;query=any,contains,991003688519702656","Catalog Record")</f>
        <v/>
      </c>
      <c r="AT147">
        <f>HYPERLINK("http://www.worldcat.org/oclc/1317632","WorldCat Record")</f>
        <v/>
      </c>
      <c r="AU147" t="inlineStr">
        <is>
          <t>2193594:eng</t>
        </is>
      </c>
      <c r="AV147" t="inlineStr">
        <is>
          <t>1317632</t>
        </is>
      </c>
      <c r="AW147" t="inlineStr">
        <is>
          <t>991003688519702656</t>
        </is>
      </c>
      <c r="AX147" t="inlineStr">
        <is>
          <t>991003688519702656</t>
        </is>
      </c>
      <c r="AY147" t="inlineStr">
        <is>
          <t>2269313750002656</t>
        </is>
      </c>
      <c r="AZ147" t="inlineStr">
        <is>
          <t>BOOK</t>
        </is>
      </c>
      <c r="BC147" t="inlineStr">
        <is>
          <t>32285000597392</t>
        </is>
      </c>
      <c r="BD147" t="inlineStr">
        <is>
          <t>893324346</t>
        </is>
      </c>
    </row>
    <row r="148">
      <c r="A148" t="inlineStr">
        <is>
          <t>No</t>
        </is>
      </c>
      <c r="B148" t="inlineStr">
        <is>
          <t>NA4820 .S4 1963</t>
        </is>
      </c>
      <c r="C148" t="inlineStr">
        <is>
          <t>0                      NA 4820000S  4           1963</t>
        </is>
      </c>
      <c r="D148" t="inlineStr">
        <is>
          <t>The house of God : sacred art and church architecture / R. Kevin Seasoltz.</t>
        </is>
      </c>
      <c r="F148" t="inlineStr">
        <is>
          <t>No</t>
        </is>
      </c>
      <c r="G148" t="inlineStr">
        <is>
          <t>1</t>
        </is>
      </c>
      <c r="H148" t="inlineStr">
        <is>
          <t>No</t>
        </is>
      </c>
      <c r="I148" t="inlineStr">
        <is>
          <t>No</t>
        </is>
      </c>
      <c r="J148" t="inlineStr">
        <is>
          <t>0</t>
        </is>
      </c>
      <c r="K148" t="inlineStr">
        <is>
          <t>Seasoltz, R. Kevin.</t>
        </is>
      </c>
      <c r="L148" t="inlineStr">
        <is>
          <t>[New York] : Herder and Herder, [1963]</t>
        </is>
      </c>
      <c r="M148" t="inlineStr">
        <is>
          <t>1963</t>
        </is>
      </c>
      <c r="O148" t="inlineStr">
        <is>
          <t>eng</t>
        </is>
      </c>
      <c r="P148" t="inlineStr">
        <is>
          <t xml:space="preserve">xx </t>
        </is>
      </c>
      <c r="R148" t="inlineStr">
        <is>
          <t xml:space="preserve">NA </t>
        </is>
      </c>
      <c r="S148" t="n">
        <v>3</v>
      </c>
      <c r="T148" t="n">
        <v>3</v>
      </c>
      <c r="U148" t="inlineStr">
        <is>
          <t>1996-09-17</t>
        </is>
      </c>
      <c r="V148" t="inlineStr">
        <is>
          <t>1996-09-17</t>
        </is>
      </c>
      <c r="W148" t="inlineStr">
        <is>
          <t>1992-11-23</t>
        </is>
      </c>
      <c r="X148" t="inlineStr">
        <is>
          <t>1992-11-23</t>
        </is>
      </c>
      <c r="Y148" t="n">
        <v>254</v>
      </c>
      <c r="Z148" t="n">
        <v>224</v>
      </c>
      <c r="AA148" t="n">
        <v>230</v>
      </c>
      <c r="AB148" t="n">
        <v>5</v>
      </c>
      <c r="AC148" t="n">
        <v>5</v>
      </c>
      <c r="AD148" t="n">
        <v>24</v>
      </c>
      <c r="AE148" t="n">
        <v>24</v>
      </c>
      <c r="AF148" t="n">
        <v>6</v>
      </c>
      <c r="AG148" t="n">
        <v>6</v>
      </c>
      <c r="AH148" t="n">
        <v>5</v>
      </c>
      <c r="AI148" t="n">
        <v>5</v>
      </c>
      <c r="AJ148" t="n">
        <v>16</v>
      </c>
      <c r="AK148" t="n">
        <v>16</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HYPERLINK("https://creighton-primo.hosted.exlibrisgroup.com/primo-explore/search?tab=default_tab&amp;search_scope=EVERYTHING&amp;vid=01CRU&amp;lang=en_US&amp;offset=0&amp;query=any,contains,991003247409702656","Catalog Record")</f>
        <v/>
      </c>
      <c r="AT148">
        <f>HYPERLINK("http://www.worldcat.org/oclc/772195","WorldCat Record")</f>
        <v/>
      </c>
      <c r="AU148" t="inlineStr">
        <is>
          <t>366952267:eng</t>
        </is>
      </c>
      <c r="AV148" t="inlineStr">
        <is>
          <t>772195</t>
        </is>
      </c>
      <c r="AW148" t="inlineStr">
        <is>
          <t>991003247409702656</t>
        </is>
      </c>
      <c r="AX148" t="inlineStr">
        <is>
          <t>991003247409702656</t>
        </is>
      </c>
      <c r="AY148" t="inlineStr">
        <is>
          <t>2264308720002656</t>
        </is>
      </c>
      <c r="AZ148" t="inlineStr">
        <is>
          <t>BOOK</t>
        </is>
      </c>
      <c r="BC148" t="inlineStr">
        <is>
          <t>32285001408094</t>
        </is>
      </c>
      <c r="BD148" t="inlineStr">
        <is>
          <t>893774554</t>
        </is>
      </c>
    </row>
    <row r="149">
      <c r="A149" t="inlineStr">
        <is>
          <t>No</t>
        </is>
      </c>
      <c r="B149" t="inlineStr">
        <is>
          <t>NA4829.M67 A53 1978</t>
        </is>
      </c>
      <c r="C149" t="inlineStr">
        <is>
          <t>0                      NA 4829000M  67                 A  53          1978</t>
        </is>
      </c>
      <c r="D149" t="inlineStr">
        <is>
          <t>The early temples of the Mormons : the architecture of the Millennial Kingdom in the American West / Laurel B. Andrew.</t>
        </is>
      </c>
      <c r="F149" t="inlineStr">
        <is>
          <t>No</t>
        </is>
      </c>
      <c r="G149" t="inlineStr">
        <is>
          <t>1</t>
        </is>
      </c>
      <c r="H149" t="inlineStr">
        <is>
          <t>No</t>
        </is>
      </c>
      <c r="I149" t="inlineStr">
        <is>
          <t>No</t>
        </is>
      </c>
      <c r="J149" t="inlineStr">
        <is>
          <t>0</t>
        </is>
      </c>
      <c r="K149" t="inlineStr">
        <is>
          <t>Andrew, Laurel B.</t>
        </is>
      </c>
      <c r="L149" t="inlineStr">
        <is>
          <t>Albany : State University of New York Press, 1978, c1977.</t>
        </is>
      </c>
      <c r="M149" t="inlineStr">
        <is>
          <t>1978</t>
        </is>
      </c>
      <c r="O149" t="inlineStr">
        <is>
          <t>eng</t>
        </is>
      </c>
      <c r="P149" t="inlineStr">
        <is>
          <t>nyu</t>
        </is>
      </c>
      <c r="R149" t="inlineStr">
        <is>
          <t xml:space="preserve">NA </t>
        </is>
      </c>
      <c r="S149" t="n">
        <v>3</v>
      </c>
      <c r="T149" t="n">
        <v>3</v>
      </c>
      <c r="U149" t="inlineStr">
        <is>
          <t>2004-09-08</t>
        </is>
      </c>
      <c r="V149" t="inlineStr">
        <is>
          <t>2004-09-08</t>
        </is>
      </c>
      <c r="W149" t="inlineStr">
        <is>
          <t>1993-05-14</t>
        </is>
      </c>
      <c r="X149" t="inlineStr">
        <is>
          <t>1993-05-14</t>
        </is>
      </c>
      <c r="Y149" t="n">
        <v>502</v>
      </c>
      <c r="Z149" t="n">
        <v>452</v>
      </c>
      <c r="AA149" t="n">
        <v>455</v>
      </c>
      <c r="AB149" t="n">
        <v>3</v>
      </c>
      <c r="AC149" t="n">
        <v>3</v>
      </c>
      <c r="AD149" t="n">
        <v>20</v>
      </c>
      <c r="AE149" t="n">
        <v>20</v>
      </c>
      <c r="AF149" t="n">
        <v>6</v>
      </c>
      <c r="AG149" t="n">
        <v>6</v>
      </c>
      <c r="AH149" t="n">
        <v>7</v>
      </c>
      <c r="AI149" t="n">
        <v>7</v>
      </c>
      <c r="AJ149" t="n">
        <v>10</v>
      </c>
      <c r="AK149" t="n">
        <v>10</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HYPERLINK("https://creighton-primo.hosted.exlibrisgroup.com/primo-explore/search?tab=default_tab&amp;search_scope=EVERYTHING&amp;vid=01CRU&amp;lang=en_US&amp;offset=0&amp;query=any,contains,991004361289702656","Catalog Record")</f>
        <v/>
      </c>
      <c r="AT149">
        <f>HYPERLINK("http://www.worldcat.org/oclc/3167538","WorldCat Record")</f>
        <v/>
      </c>
      <c r="AU149" t="inlineStr">
        <is>
          <t>521360:eng</t>
        </is>
      </c>
      <c r="AV149" t="inlineStr">
        <is>
          <t>3167538</t>
        </is>
      </c>
      <c r="AW149" t="inlineStr">
        <is>
          <t>991004361289702656</t>
        </is>
      </c>
      <c r="AX149" t="inlineStr">
        <is>
          <t>991004361289702656</t>
        </is>
      </c>
      <c r="AY149" t="inlineStr">
        <is>
          <t>2262149500002656</t>
        </is>
      </c>
      <c r="AZ149" t="inlineStr">
        <is>
          <t>BOOK</t>
        </is>
      </c>
      <c r="BB149" t="inlineStr">
        <is>
          <t>9780873953580</t>
        </is>
      </c>
      <c r="BC149" t="inlineStr">
        <is>
          <t>32285001658011</t>
        </is>
      </c>
      <c r="BD149" t="inlineStr">
        <is>
          <t>893800889</t>
        </is>
      </c>
    </row>
    <row r="150">
      <c r="A150" t="inlineStr">
        <is>
          <t>No</t>
        </is>
      </c>
      <c r="B150" t="inlineStr">
        <is>
          <t>NA4830 .A52 1985b</t>
        </is>
      </c>
      <c r="C150" t="inlineStr">
        <is>
          <t>0                      NA 4830000A  52          1985b</t>
        </is>
      </c>
      <c r="D150" t="inlineStr">
        <is>
          <t>The rise of the Gothic / William Anderson ; photography by Clive Hicks.</t>
        </is>
      </c>
      <c r="F150" t="inlineStr">
        <is>
          <t>No</t>
        </is>
      </c>
      <c r="G150" t="inlineStr">
        <is>
          <t>1</t>
        </is>
      </c>
      <c r="H150" t="inlineStr">
        <is>
          <t>No</t>
        </is>
      </c>
      <c r="I150" t="inlineStr">
        <is>
          <t>No</t>
        </is>
      </c>
      <c r="J150" t="inlineStr">
        <is>
          <t>0</t>
        </is>
      </c>
      <c r="K150" t="inlineStr">
        <is>
          <t>Anderson, William, 1935-</t>
        </is>
      </c>
      <c r="L150" t="inlineStr">
        <is>
          <t>Salem, N.H. : Salem House, 1985.</t>
        </is>
      </c>
      <c r="M150" t="inlineStr">
        <is>
          <t>1985</t>
        </is>
      </c>
      <c r="O150" t="inlineStr">
        <is>
          <t>eng</t>
        </is>
      </c>
      <c r="P150" t="inlineStr">
        <is>
          <t>nhu</t>
        </is>
      </c>
      <c r="R150" t="inlineStr">
        <is>
          <t xml:space="preserve">NA </t>
        </is>
      </c>
      <c r="S150" t="n">
        <v>9</v>
      </c>
      <c r="T150" t="n">
        <v>9</v>
      </c>
      <c r="U150" t="inlineStr">
        <is>
          <t>2006-10-18</t>
        </is>
      </c>
      <c r="V150" t="inlineStr">
        <is>
          <t>2006-10-18</t>
        </is>
      </c>
      <c r="W150" t="inlineStr">
        <is>
          <t>1992-05-12</t>
        </is>
      </c>
      <c r="X150" t="inlineStr">
        <is>
          <t>1992-05-12</t>
        </is>
      </c>
      <c r="Y150" t="n">
        <v>492</v>
      </c>
      <c r="Z150" t="n">
        <v>471</v>
      </c>
      <c r="AA150" t="n">
        <v>703</v>
      </c>
      <c r="AB150" t="n">
        <v>3</v>
      </c>
      <c r="AC150" t="n">
        <v>5</v>
      </c>
      <c r="AD150" t="n">
        <v>16</v>
      </c>
      <c r="AE150" t="n">
        <v>28</v>
      </c>
      <c r="AF150" t="n">
        <v>9</v>
      </c>
      <c r="AG150" t="n">
        <v>11</v>
      </c>
      <c r="AH150" t="n">
        <v>3</v>
      </c>
      <c r="AI150" t="n">
        <v>6</v>
      </c>
      <c r="AJ150" t="n">
        <v>9</v>
      </c>
      <c r="AK150" t="n">
        <v>15</v>
      </c>
      <c r="AL150" t="n">
        <v>1</v>
      </c>
      <c r="AM150" t="n">
        <v>3</v>
      </c>
      <c r="AN150" t="n">
        <v>0</v>
      </c>
      <c r="AO150" t="n">
        <v>0</v>
      </c>
      <c r="AP150" t="inlineStr">
        <is>
          <t>No</t>
        </is>
      </c>
      <c r="AQ150" t="inlineStr">
        <is>
          <t>Yes</t>
        </is>
      </c>
      <c r="AR150">
        <f>HYPERLINK("http://catalog.hathitrust.org/Record/007480566","HathiTrust Record")</f>
        <v/>
      </c>
      <c r="AS150">
        <f>HYPERLINK("https://creighton-primo.hosted.exlibrisgroup.com/primo-explore/search?tab=default_tab&amp;search_scope=EVERYTHING&amp;vid=01CRU&amp;lang=en_US&amp;offset=0&amp;query=any,contains,991000731729702656","Catalog Record")</f>
        <v/>
      </c>
      <c r="AT150">
        <f>HYPERLINK("http://www.worldcat.org/oclc/12727527","WorldCat Record")</f>
        <v/>
      </c>
      <c r="AU150" t="inlineStr">
        <is>
          <t>5584170:eng</t>
        </is>
      </c>
      <c r="AV150" t="inlineStr">
        <is>
          <t>12727527</t>
        </is>
      </c>
      <c r="AW150" t="inlineStr">
        <is>
          <t>991000731729702656</t>
        </is>
      </c>
      <c r="AX150" t="inlineStr">
        <is>
          <t>991000731729702656</t>
        </is>
      </c>
      <c r="AY150" t="inlineStr">
        <is>
          <t>2266268590002656</t>
        </is>
      </c>
      <c r="AZ150" t="inlineStr">
        <is>
          <t>BOOK</t>
        </is>
      </c>
      <c r="BB150" t="inlineStr">
        <is>
          <t>9780881621099</t>
        </is>
      </c>
      <c r="BC150" t="inlineStr">
        <is>
          <t>32285001108512</t>
        </is>
      </c>
      <c r="BD150" t="inlineStr">
        <is>
          <t>893261586</t>
        </is>
      </c>
    </row>
    <row r="151">
      <c r="A151" t="inlineStr">
        <is>
          <t>No</t>
        </is>
      </c>
      <c r="B151" t="inlineStr">
        <is>
          <t>NA4830 .H67 1968</t>
        </is>
      </c>
      <c r="C151" t="inlineStr">
        <is>
          <t>0                      NA 4830000H  67          1968</t>
        </is>
      </c>
      <c r="D151" t="inlineStr">
        <is>
          <t>The Horizon book of great cathedrals / by the editors of Horizon magazine. Editor in charge: Jay Jacobs. Introd. by Zoe Oldenbourg.</t>
        </is>
      </c>
      <c r="F151" t="inlineStr">
        <is>
          <t>No</t>
        </is>
      </c>
      <c r="G151" t="inlineStr">
        <is>
          <t>1</t>
        </is>
      </c>
      <c r="H151" t="inlineStr">
        <is>
          <t>No</t>
        </is>
      </c>
      <c r="I151" t="inlineStr">
        <is>
          <t>No</t>
        </is>
      </c>
      <c r="J151" t="inlineStr">
        <is>
          <t>0</t>
        </is>
      </c>
      <c r="L151" t="inlineStr">
        <is>
          <t>New York : American Heritage Pub. Co. ; book distributed by Houghton Mifflin, Boston, [1968]</t>
        </is>
      </c>
      <c r="M151" t="inlineStr">
        <is>
          <t>1968</t>
        </is>
      </c>
      <c r="O151" t="inlineStr">
        <is>
          <t>eng</t>
        </is>
      </c>
      <c r="P151" t="inlineStr">
        <is>
          <t>nyu</t>
        </is>
      </c>
      <c r="R151" t="inlineStr">
        <is>
          <t xml:space="preserve">NA </t>
        </is>
      </c>
      <c r="S151" t="n">
        <v>4</v>
      </c>
      <c r="T151" t="n">
        <v>4</v>
      </c>
      <c r="U151" t="inlineStr">
        <is>
          <t>1996-01-18</t>
        </is>
      </c>
      <c r="V151" t="inlineStr">
        <is>
          <t>1996-01-18</t>
        </is>
      </c>
      <c r="W151" t="inlineStr">
        <is>
          <t>1992-06-30</t>
        </is>
      </c>
      <c r="X151" t="inlineStr">
        <is>
          <t>1992-06-30</t>
        </is>
      </c>
      <c r="Y151" t="n">
        <v>1646</v>
      </c>
      <c r="Z151" t="n">
        <v>1571</v>
      </c>
      <c r="AA151" t="n">
        <v>1783</v>
      </c>
      <c r="AB151" t="n">
        <v>12</v>
      </c>
      <c r="AC151" t="n">
        <v>17</v>
      </c>
      <c r="AD151" t="n">
        <v>41</v>
      </c>
      <c r="AE151" t="n">
        <v>44</v>
      </c>
      <c r="AF151" t="n">
        <v>18</v>
      </c>
      <c r="AG151" t="n">
        <v>20</v>
      </c>
      <c r="AH151" t="n">
        <v>4</v>
      </c>
      <c r="AI151" t="n">
        <v>5</v>
      </c>
      <c r="AJ151" t="n">
        <v>20</v>
      </c>
      <c r="AK151" t="n">
        <v>20</v>
      </c>
      <c r="AL151" t="n">
        <v>7</v>
      </c>
      <c r="AM151" t="n">
        <v>8</v>
      </c>
      <c r="AN151" t="n">
        <v>0</v>
      </c>
      <c r="AO151" t="n">
        <v>0</v>
      </c>
      <c r="AP151" t="inlineStr">
        <is>
          <t>No</t>
        </is>
      </c>
      <c r="AQ151" t="inlineStr">
        <is>
          <t>Yes</t>
        </is>
      </c>
      <c r="AR151">
        <f>HYPERLINK("http://catalog.hathitrust.org/Record/000566525","HathiTrust Record")</f>
        <v/>
      </c>
      <c r="AS151">
        <f>HYPERLINK("https://creighton-primo.hosted.exlibrisgroup.com/primo-explore/search?tab=default_tab&amp;search_scope=EVERYTHING&amp;vid=01CRU&amp;lang=en_US&amp;offset=0&amp;query=any,contains,991002805149702656","Catalog Record")</f>
        <v/>
      </c>
      <c r="AT151">
        <f>HYPERLINK("http://www.worldcat.org/oclc/449235","WorldCat Record")</f>
        <v/>
      </c>
      <c r="AU151" t="inlineStr">
        <is>
          <t>302987527:eng</t>
        </is>
      </c>
      <c r="AV151" t="inlineStr">
        <is>
          <t>449235</t>
        </is>
      </c>
      <c r="AW151" t="inlineStr">
        <is>
          <t>991002805149702656</t>
        </is>
      </c>
      <c r="AX151" t="inlineStr">
        <is>
          <t>991002805149702656</t>
        </is>
      </c>
      <c r="AY151" t="inlineStr">
        <is>
          <t>2265195110002656</t>
        </is>
      </c>
      <c r="AZ151" t="inlineStr">
        <is>
          <t>BOOK</t>
        </is>
      </c>
      <c r="BC151" t="inlineStr">
        <is>
          <t>32285001145951</t>
        </is>
      </c>
      <c r="BD151" t="inlineStr">
        <is>
          <t>893227300</t>
        </is>
      </c>
    </row>
    <row r="152">
      <c r="A152" t="inlineStr">
        <is>
          <t>No</t>
        </is>
      </c>
      <c r="B152" t="inlineStr">
        <is>
          <t>NA497.E53 T48 1975b</t>
        </is>
      </c>
      <c r="C152" t="inlineStr">
        <is>
          <t>0                      NA 0497000E  53                 T  48          1975b</t>
        </is>
      </c>
      <c r="D152" t="inlineStr">
        <is>
          <t>Military architecture in medieval England / by A. Hamilton Thompson.</t>
        </is>
      </c>
      <c r="F152" t="inlineStr">
        <is>
          <t>No</t>
        </is>
      </c>
      <c r="G152" t="inlineStr">
        <is>
          <t>1</t>
        </is>
      </c>
      <c r="H152" t="inlineStr">
        <is>
          <t>No</t>
        </is>
      </c>
      <c r="I152" t="inlineStr">
        <is>
          <t>No</t>
        </is>
      </c>
      <c r="J152" t="inlineStr">
        <is>
          <t>0</t>
        </is>
      </c>
      <c r="K152" t="inlineStr">
        <is>
          <t>Thompson, A. Hamilton (Alexander Hamilton), 1873-1952.</t>
        </is>
      </c>
      <c r="L152" t="inlineStr">
        <is>
          <t>East Ardsley, Eng. : EP Pub. ; Totowa, N.J. : Rowman &amp; Littlefield, 1975.</t>
        </is>
      </c>
      <c r="M152" t="inlineStr">
        <is>
          <t>1975</t>
        </is>
      </c>
      <c r="O152" t="inlineStr">
        <is>
          <t>eng</t>
        </is>
      </c>
      <c r="P152" t="inlineStr">
        <is>
          <t>enk</t>
        </is>
      </c>
      <c r="R152" t="inlineStr">
        <is>
          <t xml:space="preserve">NA </t>
        </is>
      </c>
      <c r="S152" t="n">
        <v>4</v>
      </c>
      <c r="T152" t="n">
        <v>4</v>
      </c>
      <c r="U152" t="inlineStr">
        <is>
          <t>2006-11-11</t>
        </is>
      </c>
      <c r="V152" t="inlineStr">
        <is>
          <t>2006-11-11</t>
        </is>
      </c>
      <c r="W152" t="inlineStr">
        <is>
          <t>1992-07-08</t>
        </is>
      </c>
      <c r="X152" t="inlineStr">
        <is>
          <t>1992-07-08</t>
        </is>
      </c>
      <c r="Y152" t="n">
        <v>141</v>
      </c>
      <c r="Z152" t="n">
        <v>101</v>
      </c>
      <c r="AA152" t="n">
        <v>104</v>
      </c>
      <c r="AB152" t="n">
        <v>2</v>
      </c>
      <c r="AC152" t="n">
        <v>2</v>
      </c>
      <c r="AD152" t="n">
        <v>3</v>
      </c>
      <c r="AE152" t="n">
        <v>3</v>
      </c>
      <c r="AF152" t="n">
        <v>0</v>
      </c>
      <c r="AG152" t="n">
        <v>0</v>
      </c>
      <c r="AH152" t="n">
        <v>0</v>
      </c>
      <c r="AI152" t="n">
        <v>0</v>
      </c>
      <c r="AJ152" t="n">
        <v>2</v>
      </c>
      <c r="AK152" t="n">
        <v>2</v>
      </c>
      <c r="AL152" t="n">
        <v>1</v>
      </c>
      <c r="AM152" t="n">
        <v>1</v>
      </c>
      <c r="AN152" t="n">
        <v>0</v>
      </c>
      <c r="AO152" t="n">
        <v>0</v>
      </c>
      <c r="AP152" t="inlineStr">
        <is>
          <t>No</t>
        </is>
      </c>
      <c r="AQ152" t="inlineStr">
        <is>
          <t>Yes</t>
        </is>
      </c>
      <c r="AR152">
        <f>HYPERLINK("http://catalog.hathitrust.org/Record/101849473","HathiTrust Record")</f>
        <v/>
      </c>
      <c r="AS152">
        <f>HYPERLINK("https://creighton-primo.hosted.exlibrisgroup.com/primo-explore/search?tab=default_tab&amp;search_scope=EVERYTHING&amp;vid=01CRU&amp;lang=en_US&amp;offset=0&amp;query=any,contains,991003599159702656","Catalog Record")</f>
        <v/>
      </c>
      <c r="AT152">
        <f>HYPERLINK("http://www.worldcat.org/oclc/1176883","WorldCat Record")</f>
        <v/>
      </c>
      <c r="AU152" t="inlineStr">
        <is>
          <t>3855350433:eng</t>
        </is>
      </c>
      <c r="AV152" t="inlineStr">
        <is>
          <t>1176883</t>
        </is>
      </c>
      <c r="AW152" t="inlineStr">
        <is>
          <t>991003599159702656</t>
        </is>
      </c>
      <c r="AX152" t="inlineStr">
        <is>
          <t>991003599159702656</t>
        </is>
      </c>
      <c r="AY152" t="inlineStr">
        <is>
          <t>2269482610002656</t>
        </is>
      </c>
      <c r="AZ152" t="inlineStr">
        <is>
          <t>BOOK</t>
        </is>
      </c>
      <c r="BB152" t="inlineStr">
        <is>
          <t>9780874716849</t>
        </is>
      </c>
      <c r="BC152" t="inlineStr">
        <is>
          <t>32285001187250</t>
        </is>
      </c>
      <c r="BD152" t="inlineStr">
        <is>
          <t>893422736</t>
        </is>
      </c>
    </row>
    <row r="153">
      <c r="A153" t="inlineStr">
        <is>
          <t>No</t>
        </is>
      </c>
      <c r="B153" t="inlineStr">
        <is>
          <t>NA500 .F75</t>
        </is>
      </c>
      <c r="C153" t="inlineStr">
        <is>
          <t>0                      NA 0500000F  75</t>
        </is>
      </c>
      <c r="D153" t="inlineStr">
        <is>
          <t>Modern architecture : a critical history / Kenneth Frampton.</t>
        </is>
      </c>
      <c r="F153" t="inlineStr">
        <is>
          <t>No</t>
        </is>
      </c>
      <c r="G153" t="inlineStr">
        <is>
          <t>1</t>
        </is>
      </c>
      <c r="H153" t="inlineStr">
        <is>
          <t>No</t>
        </is>
      </c>
      <c r="I153" t="inlineStr">
        <is>
          <t>No</t>
        </is>
      </c>
      <c r="J153" t="inlineStr">
        <is>
          <t>0</t>
        </is>
      </c>
      <c r="K153" t="inlineStr">
        <is>
          <t>Frampton, Kenneth.</t>
        </is>
      </c>
      <c r="L153" t="inlineStr">
        <is>
          <t>New York : Oxford University Press, 1980.</t>
        </is>
      </c>
      <c r="M153" t="inlineStr">
        <is>
          <t>1980</t>
        </is>
      </c>
      <c r="O153" t="inlineStr">
        <is>
          <t>eng</t>
        </is>
      </c>
      <c r="P153" t="inlineStr">
        <is>
          <t>nyu</t>
        </is>
      </c>
      <c r="Q153" t="inlineStr">
        <is>
          <t>World of art</t>
        </is>
      </c>
      <c r="R153" t="inlineStr">
        <is>
          <t xml:space="preserve">NA </t>
        </is>
      </c>
      <c r="S153" t="n">
        <v>4</v>
      </c>
      <c r="T153" t="n">
        <v>4</v>
      </c>
      <c r="U153" t="inlineStr">
        <is>
          <t>1999-04-23</t>
        </is>
      </c>
      <c r="V153" t="inlineStr">
        <is>
          <t>1999-04-23</t>
        </is>
      </c>
      <c r="W153" t="inlineStr">
        <is>
          <t>1993-08-05</t>
        </is>
      </c>
      <c r="X153" t="inlineStr">
        <is>
          <t>1993-08-05</t>
        </is>
      </c>
      <c r="Y153" t="n">
        <v>663</v>
      </c>
      <c r="Z153" t="n">
        <v>600</v>
      </c>
      <c r="AA153" t="n">
        <v>1244</v>
      </c>
      <c r="AB153" t="n">
        <v>1</v>
      </c>
      <c r="AC153" t="n">
        <v>4</v>
      </c>
      <c r="AD153" t="n">
        <v>15</v>
      </c>
      <c r="AE153" t="n">
        <v>36</v>
      </c>
      <c r="AF153" t="n">
        <v>8</v>
      </c>
      <c r="AG153" t="n">
        <v>19</v>
      </c>
      <c r="AH153" t="n">
        <v>7</v>
      </c>
      <c r="AI153" t="n">
        <v>8</v>
      </c>
      <c r="AJ153" t="n">
        <v>5</v>
      </c>
      <c r="AK153" t="n">
        <v>16</v>
      </c>
      <c r="AL153" t="n">
        <v>0</v>
      </c>
      <c r="AM153" t="n">
        <v>2</v>
      </c>
      <c r="AN153" t="n">
        <v>0</v>
      </c>
      <c r="AO153" t="n">
        <v>0</v>
      </c>
      <c r="AP153" t="inlineStr">
        <is>
          <t>No</t>
        </is>
      </c>
      <c r="AQ153" t="inlineStr">
        <is>
          <t>Yes</t>
        </is>
      </c>
      <c r="AR153">
        <f>HYPERLINK("http://catalog.hathitrust.org/Record/000692138","HathiTrust Record")</f>
        <v/>
      </c>
      <c r="AS153">
        <f>HYPERLINK("https://creighton-primo.hosted.exlibrisgroup.com/primo-explore/search?tab=default_tab&amp;search_scope=EVERYTHING&amp;vid=01CRU&amp;lang=en_US&amp;offset=0&amp;query=any,contains,991004840739702656","Catalog Record")</f>
        <v/>
      </c>
      <c r="AT153">
        <f>HYPERLINK("http://www.worldcat.org/oclc/5497803","WorldCat Record")</f>
        <v/>
      </c>
      <c r="AU153" t="inlineStr">
        <is>
          <t>3291695:eng</t>
        </is>
      </c>
      <c r="AV153" t="inlineStr">
        <is>
          <t>5497803</t>
        </is>
      </c>
      <c r="AW153" t="inlineStr">
        <is>
          <t>991004840739702656</t>
        </is>
      </c>
      <c r="AX153" t="inlineStr">
        <is>
          <t>991004840739702656</t>
        </is>
      </c>
      <c r="AY153" t="inlineStr">
        <is>
          <t>2264871050002656</t>
        </is>
      </c>
      <c r="AZ153" t="inlineStr">
        <is>
          <t>BOOK</t>
        </is>
      </c>
      <c r="BB153" t="inlineStr">
        <is>
          <t>9780195201789</t>
        </is>
      </c>
      <c r="BC153" t="inlineStr">
        <is>
          <t>32285001750883</t>
        </is>
      </c>
      <c r="BD153" t="inlineStr">
        <is>
          <t>893526578</t>
        </is>
      </c>
    </row>
    <row r="154">
      <c r="A154" t="inlineStr">
        <is>
          <t>No</t>
        </is>
      </c>
      <c r="B154" t="inlineStr">
        <is>
          <t>NA510 .J3 1975, v...</t>
        </is>
      </c>
      <c r="C154" t="inlineStr">
        <is>
          <t>0                      NA 0510000J  3           1975                                        v...</t>
        </is>
      </c>
      <c r="D154" t="inlineStr">
        <is>
          <t>The renaissance of Roman architecture / Sir Thomas Graham Jackson.</t>
        </is>
      </c>
      <c r="E154" t="inlineStr">
        <is>
          <t>V.3</t>
        </is>
      </c>
      <c r="F154" t="inlineStr">
        <is>
          <t>Yes</t>
        </is>
      </c>
      <c r="G154" t="inlineStr">
        <is>
          <t>1</t>
        </is>
      </c>
      <c r="H154" t="inlineStr">
        <is>
          <t>No</t>
        </is>
      </c>
      <c r="I154" t="inlineStr">
        <is>
          <t>No</t>
        </is>
      </c>
      <c r="J154" t="inlineStr">
        <is>
          <t>0</t>
        </is>
      </c>
      <c r="K154" t="inlineStr">
        <is>
          <t>Jackson, Thomas Graham, Sir, 1835-1924.</t>
        </is>
      </c>
      <c r="L154" t="inlineStr">
        <is>
          <t>New York : Hacker Art Books, 1975-</t>
        </is>
      </c>
      <c r="M154" t="inlineStr">
        <is>
          <t>1975</t>
        </is>
      </c>
      <c r="O154" t="inlineStr">
        <is>
          <t>eng</t>
        </is>
      </c>
      <c r="P154" t="inlineStr">
        <is>
          <t>nyu</t>
        </is>
      </c>
      <c r="R154" t="inlineStr">
        <is>
          <t xml:space="preserve">NA </t>
        </is>
      </c>
      <c r="S154" t="n">
        <v>3</v>
      </c>
      <c r="T154" t="n">
        <v>11</v>
      </c>
      <c r="V154" t="inlineStr">
        <is>
          <t>1996-03-13</t>
        </is>
      </c>
      <c r="W154" t="inlineStr">
        <is>
          <t>1993-05-13</t>
        </is>
      </c>
      <c r="X154" t="inlineStr">
        <is>
          <t>1993-05-13</t>
        </is>
      </c>
      <c r="Y154" t="n">
        <v>260</v>
      </c>
      <c r="Z154" t="n">
        <v>208</v>
      </c>
      <c r="AA154" t="n">
        <v>381</v>
      </c>
      <c r="AB154" t="n">
        <v>2</v>
      </c>
      <c r="AC154" t="n">
        <v>3</v>
      </c>
      <c r="AD154" t="n">
        <v>6</v>
      </c>
      <c r="AE154" t="n">
        <v>10</v>
      </c>
      <c r="AF154" t="n">
        <v>2</v>
      </c>
      <c r="AG154" t="n">
        <v>2</v>
      </c>
      <c r="AH154" t="n">
        <v>1</v>
      </c>
      <c r="AI154" t="n">
        <v>1</v>
      </c>
      <c r="AJ154" t="n">
        <v>3</v>
      </c>
      <c r="AK154" t="n">
        <v>6</v>
      </c>
      <c r="AL154" t="n">
        <v>1</v>
      </c>
      <c r="AM154" t="n">
        <v>2</v>
      </c>
      <c r="AN154" t="n">
        <v>0</v>
      </c>
      <c r="AO154" t="n">
        <v>0</v>
      </c>
      <c r="AP154" t="inlineStr">
        <is>
          <t>No</t>
        </is>
      </c>
      <c r="AQ154" t="inlineStr">
        <is>
          <t>Yes</t>
        </is>
      </c>
      <c r="AR154">
        <f>HYPERLINK("http://catalog.hathitrust.org/Record/009917186","HathiTrust Record")</f>
        <v/>
      </c>
      <c r="AS154">
        <f>HYPERLINK("https://creighton-primo.hosted.exlibrisgroup.com/primo-explore/search?tab=default_tab&amp;search_scope=EVERYTHING&amp;vid=01CRU&amp;lang=en_US&amp;offset=0&amp;query=any,contains,991003940409702656","Catalog Record")</f>
        <v/>
      </c>
      <c r="AT154">
        <f>HYPERLINK("http://www.worldcat.org/oclc/1928737","WorldCat Record")</f>
        <v/>
      </c>
      <c r="AU154" t="inlineStr">
        <is>
          <t>2733944:eng</t>
        </is>
      </c>
      <c r="AV154" t="inlineStr">
        <is>
          <t>1928737</t>
        </is>
      </c>
      <c r="AW154" t="inlineStr">
        <is>
          <t>991003940409702656</t>
        </is>
      </c>
      <c r="AX154" t="inlineStr">
        <is>
          <t>991003940409702656</t>
        </is>
      </c>
      <c r="AY154" t="inlineStr">
        <is>
          <t>2257197100002656</t>
        </is>
      </c>
      <c r="AZ154" t="inlineStr">
        <is>
          <t>BOOK</t>
        </is>
      </c>
      <c r="BB154" t="inlineStr">
        <is>
          <t>9780878170913</t>
        </is>
      </c>
      <c r="BC154" t="inlineStr">
        <is>
          <t>32285001654325</t>
        </is>
      </c>
      <c r="BD154" t="inlineStr">
        <is>
          <t>893894379</t>
        </is>
      </c>
    </row>
    <row r="155">
      <c r="A155" t="inlineStr">
        <is>
          <t>No</t>
        </is>
      </c>
      <c r="B155" t="inlineStr">
        <is>
          <t>NA510 .J3 1975, v...</t>
        </is>
      </c>
      <c r="C155" t="inlineStr">
        <is>
          <t>0                      NA 0510000J  3           1975                                        v...</t>
        </is>
      </c>
      <c r="D155" t="inlineStr">
        <is>
          <t>The renaissance of Roman architecture / Sir Thomas Graham Jackson.</t>
        </is>
      </c>
      <c r="E155" t="inlineStr">
        <is>
          <t>V.1</t>
        </is>
      </c>
      <c r="F155" t="inlineStr">
        <is>
          <t>Yes</t>
        </is>
      </c>
      <c r="G155" t="inlineStr">
        <is>
          <t>1</t>
        </is>
      </c>
      <c r="H155" t="inlineStr">
        <is>
          <t>No</t>
        </is>
      </c>
      <c r="I155" t="inlineStr">
        <is>
          <t>No</t>
        </is>
      </c>
      <c r="J155" t="inlineStr">
        <is>
          <t>0</t>
        </is>
      </c>
      <c r="K155" t="inlineStr">
        <is>
          <t>Jackson, Thomas Graham, Sir, 1835-1924.</t>
        </is>
      </c>
      <c r="L155" t="inlineStr">
        <is>
          <t>New York : Hacker Art Books, 1975-</t>
        </is>
      </c>
      <c r="M155" t="inlineStr">
        <is>
          <t>1975</t>
        </is>
      </c>
      <c r="O155" t="inlineStr">
        <is>
          <t>eng</t>
        </is>
      </c>
      <c r="P155" t="inlineStr">
        <is>
          <t>nyu</t>
        </is>
      </c>
      <c r="R155" t="inlineStr">
        <is>
          <t xml:space="preserve">NA </t>
        </is>
      </c>
      <c r="S155" t="n">
        <v>5</v>
      </c>
      <c r="T155" t="n">
        <v>11</v>
      </c>
      <c r="U155" t="inlineStr">
        <is>
          <t>1996-03-13</t>
        </is>
      </c>
      <c r="V155" t="inlineStr">
        <is>
          <t>1996-03-13</t>
        </is>
      </c>
      <c r="W155" t="inlineStr">
        <is>
          <t>1993-05-13</t>
        </is>
      </c>
      <c r="X155" t="inlineStr">
        <is>
          <t>1993-05-13</t>
        </is>
      </c>
      <c r="Y155" t="n">
        <v>260</v>
      </c>
      <c r="Z155" t="n">
        <v>208</v>
      </c>
      <c r="AA155" t="n">
        <v>381</v>
      </c>
      <c r="AB155" t="n">
        <v>2</v>
      </c>
      <c r="AC155" t="n">
        <v>3</v>
      </c>
      <c r="AD155" t="n">
        <v>6</v>
      </c>
      <c r="AE155" t="n">
        <v>10</v>
      </c>
      <c r="AF155" t="n">
        <v>2</v>
      </c>
      <c r="AG155" t="n">
        <v>2</v>
      </c>
      <c r="AH155" t="n">
        <v>1</v>
      </c>
      <c r="AI155" t="n">
        <v>1</v>
      </c>
      <c r="AJ155" t="n">
        <v>3</v>
      </c>
      <c r="AK155" t="n">
        <v>6</v>
      </c>
      <c r="AL155" t="n">
        <v>1</v>
      </c>
      <c r="AM155" t="n">
        <v>2</v>
      </c>
      <c r="AN155" t="n">
        <v>0</v>
      </c>
      <c r="AO155" t="n">
        <v>0</v>
      </c>
      <c r="AP155" t="inlineStr">
        <is>
          <t>No</t>
        </is>
      </c>
      <c r="AQ155" t="inlineStr">
        <is>
          <t>Yes</t>
        </is>
      </c>
      <c r="AR155">
        <f>HYPERLINK("http://catalog.hathitrust.org/Record/009917186","HathiTrust Record")</f>
        <v/>
      </c>
      <c r="AS155">
        <f>HYPERLINK("https://creighton-primo.hosted.exlibrisgroup.com/primo-explore/search?tab=default_tab&amp;search_scope=EVERYTHING&amp;vid=01CRU&amp;lang=en_US&amp;offset=0&amp;query=any,contains,991003940409702656","Catalog Record")</f>
        <v/>
      </c>
      <c r="AT155">
        <f>HYPERLINK("http://www.worldcat.org/oclc/1928737","WorldCat Record")</f>
        <v/>
      </c>
      <c r="AU155" t="inlineStr">
        <is>
          <t>2733944:eng</t>
        </is>
      </c>
      <c r="AV155" t="inlineStr">
        <is>
          <t>1928737</t>
        </is>
      </c>
      <c r="AW155" t="inlineStr">
        <is>
          <t>991003940409702656</t>
        </is>
      </c>
      <c r="AX155" t="inlineStr">
        <is>
          <t>991003940409702656</t>
        </is>
      </c>
      <c r="AY155" t="inlineStr">
        <is>
          <t>2257197100002656</t>
        </is>
      </c>
      <c r="AZ155" t="inlineStr">
        <is>
          <t>BOOK</t>
        </is>
      </c>
      <c r="BB155" t="inlineStr">
        <is>
          <t>9780878170913</t>
        </is>
      </c>
      <c r="BC155" t="inlineStr">
        <is>
          <t>32285001654309</t>
        </is>
      </c>
      <c r="BD155" t="inlineStr">
        <is>
          <t>893894380</t>
        </is>
      </c>
    </row>
    <row r="156">
      <c r="A156" t="inlineStr">
        <is>
          <t>No</t>
        </is>
      </c>
      <c r="B156" t="inlineStr">
        <is>
          <t>NA510 .J3 1975, v...</t>
        </is>
      </c>
      <c r="C156" t="inlineStr">
        <is>
          <t>0                      NA 0510000J  3           1975                                        v...</t>
        </is>
      </c>
      <c r="D156" t="inlineStr">
        <is>
          <t>The renaissance of Roman architecture / Sir Thomas Graham Jackson.</t>
        </is>
      </c>
      <c r="E156" t="inlineStr">
        <is>
          <t>V.2</t>
        </is>
      </c>
      <c r="F156" t="inlineStr">
        <is>
          <t>Yes</t>
        </is>
      </c>
      <c r="G156" t="inlineStr">
        <is>
          <t>1</t>
        </is>
      </c>
      <c r="H156" t="inlineStr">
        <is>
          <t>No</t>
        </is>
      </c>
      <c r="I156" t="inlineStr">
        <is>
          <t>No</t>
        </is>
      </c>
      <c r="J156" t="inlineStr">
        <is>
          <t>0</t>
        </is>
      </c>
      <c r="K156" t="inlineStr">
        <is>
          <t>Jackson, Thomas Graham, Sir, 1835-1924.</t>
        </is>
      </c>
      <c r="L156" t="inlineStr">
        <is>
          <t>New York : Hacker Art Books, 1975-</t>
        </is>
      </c>
      <c r="M156" t="inlineStr">
        <is>
          <t>1975</t>
        </is>
      </c>
      <c r="O156" t="inlineStr">
        <is>
          <t>eng</t>
        </is>
      </c>
      <c r="P156" t="inlineStr">
        <is>
          <t>nyu</t>
        </is>
      </c>
      <c r="R156" t="inlineStr">
        <is>
          <t xml:space="preserve">NA </t>
        </is>
      </c>
      <c r="S156" t="n">
        <v>3</v>
      </c>
      <c r="T156" t="n">
        <v>11</v>
      </c>
      <c r="V156" t="inlineStr">
        <is>
          <t>1996-03-13</t>
        </is>
      </c>
      <c r="W156" t="inlineStr">
        <is>
          <t>1993-05-13</t>
        </is>
      </c>
      <c r="X156" t="inlineStr">
        <is>
          <t>1993-05-13</t>
        </is>
      </c>
      <c r="Y156" t="n">
        <v>260</v>
      </c>
      <c r="Z156" t="n">
        <v>208</v>
      </c>
      <c r="AA156" t="n">
        <v>381</v>
      </c>
      <c r="AB156" t="n">
        <v>2</v>
      </c>
      <c r="AC156" t="n">
        <v>3</v>
      </c>
      <c r="AD156" t="n">
        <v>6</v>
      </c>
      <c r="AE156" t="n">
        <v>10</v>
      </c>
      <c r="AF156" t="n">
        <v>2</v>
      </c>
      <c r="AG156" t="n">
        <v>2</v>
      </c>
      <c r="AH156" t="n">
        <v>1</v>
      </c>
      <c r="AI156" t="n">
        <v>1</v>
      </c>
      <c r="AJ156" t="n">
        <v>3</v>
      </c>
      <c r="AK156" t="n">
        <v>6</v>
      </c>
      <c r="AL156" t="n">
        <v>1</v>
      </c>
      <c r="AM156" t="n">
        <v>2</v>
      </c>
      <c r="AN156" t="n">
        <v>0</v>
      </c>
      <c r="AO156" t="n">
        <v>0</v>
      </c>
      <c r="AP156" t="inlineStr">
        <is>
          <t>No</t>
        </is>
      </c>
      <c r="AQ156" t="inlineStr">
        <is>
          <t>Yes</t>
        </is>
      </c>
      <c r="AR156">
        <f>HYPERLINK("http://catalog.hathitrust.org/Record/009917186","HathiTrust Record")</f>
        <v/>
      </c>
      <c r="AS156">
        <f>HYPERLINK("https://creighton-primo.hosted.exlibrisgroup.com/primo-explore/search?tab=default_tab&amp;search_scope=EVERYTHING&amp;vid=01CRU&amp;lang=en_US&amp;offset=0&amp;query=any,contains,991003940409702656","Catalog Record")</f>
        <v/>
      </c>
      <c r="AT156">
        <f>HYPERLINK("http://www.worldcat.org/oclc/1928737","WorldCat Record")</f>
        <v/>
      </c>
      <c r="AU156" t="inlineStr">
        <is>
          <t>2733944:eng</t>
        </is>
      </c>
      <c r="AV156" t="inlineStr">
        <is>
          <t>1928737</t>
        </is>
      </c>
      <c r="AW156" t="inlineStr">
        <is>
          <t>991003940409702656</t>
        </is>
      </c>
      <c r="AX156" t="inlineStr">
        <is>
          <t>991003940409702656</t>
        </is>
      </c>
      <c r="AY156" t="inlineStr">
        <is>
          <t>2257197100002656</t>
        </is>
      </c>
      <c r="AZ156" t="inlineStr">
        <is>
          <t>BOOK</t>
        </is>
      </c>
      <c r="BB156" t="inlineStr">
        <is>
          <t>9780878170913</t>
        </is>
      </c>
      <c r="BC156" t="inlineStr">
        <is>
          <t>32285001654317</t>
        </is>
      </c>
      <c r="BD156" t="inlineStr">
        <is>
          <t>893888130</t>
        </is>
      </c>
    </row>
    <row r="157">
      <c r="A157" t="inlineStr">
        <is>
          <t>No</t>
        </is>
      </c>
      <c r="B157" t="inlineStr">
        <is>
          <t>NA510 .L6</t>
        </is>
      </c>
      <c r="C157" t="inlineStr">
        <is>
          <t>0                      NA 0510000L  6</t>
        </is>
      </c>
      <c r="D157" t="inlineStr">
        <is>
          <t>Renaissance architecture.</t>
        </is>
      </c>
      <c r="F157" t="inlineStr">
        <is>
          <t>No</t>
        </is>
      </c>
      <c r="G157" t="inlineStr">
        <is>
          <t>1</t>
        </is>
      </c>
      <c r="H157" t="inlineStr">
        <is>
          <t>No</t>
        </is>
      </c>
      <c r="I157" t="inlineStr">
        <is>
          <t>No</t>
        </is>
      </c>
      <c r="J157" t="inlineStr">
        <is>
          <t>0</t>
        </is>
      </c>
      <c r="K157" t="inlineStr">
        <is>
          <t>Lowry, Bates, 1923-2004.</t>
        </is>
      </c>
      <c r="L157" t="inlineStr">
        <is>
          <t>London, Prentice-Hall International; New York, G. Braziller [1962]</t>
        </is>
      </c>
      <c r="M157" t="inlineStr">
        <is>
          <t>1962</t>
        </is>
      </c>
      <c r="O157" t="inlineStr">
        <is>
          <t>eng</t>
        </is>
      </c>
      <c r="P157" t="inlineStr">
        <is>
          <t xml:space="preserve">xx </t>
        </is>
      </c>
      <c r="Q157" t="inlineStr">
        <is>
          <t>The Great ages of world architecture.</t>
        </is>
      </c>
      <c r="R157" t="inlineStr">
        <is>
          <t xml:space="preserve">NA </t>
        </is>
      </c>
      <c r="S157" t="n">
        <v>3</v>
      </c>
      <c r="T157" t="n">
        <v>3</v>
      </c>
      <c r="U157" t="inlineStr">
        <is>
          <t>2000-09-08</t>
        </is>
      </c>
      <c r="V157" t="inlineStr">
        <is>
          <t>2000-09-08</t>
        </is>
      </c>
      <c r="W157" t="inlineStr">
        <is>
          <t>1997-07-01</t>
        </is>
      </c>
      <c r="X157" t="inlineStr">
        <is>
          <t>1997-07-01</t>
        </is>
      </c>
      <c r="Y157" t="n">
        <v>67</v>
      </c>
      <c r="Z157" t="n">
        <v>27</v>
      </c>
      <c r="AA157" t="n">
        <v>1300</v>
      </c>
      <c r="AB157" t="n">
        <v>1</v>
      </c>
      <c r="AC157" t="n">
        <v>10</v>
      </c>
      <c r="AD157" t="n">
        <v>1</v>
      </c>
      <c r="AE157" t="n">
        <v>47</v>
      </c>
      <c r="AF157" t="n">
        <v>1</v>
      </c>
      <c r="AG157" t="n">
        <v>18</v>
      </c>
      <c r="AH157" t="n">
        <v>1</v>
      </c>
      <c r="AI157" t="n">
        <v>9</v>
      </c>
      <c r="AJ157" t="n">
        <v>0</v>
      </c>
      <c r="AK157" t="n">
        <v>22</v>
      </c>
      <c r="AL157" t="n">
        <v>0</v>
      </c>
      <c r="AM157" t="n">
        <v>8</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HYPERLINK("https://creighton-primo.hosted.exlibrisgroup.com/primo-explore/search?tab=default_tab&amp;search_scope=EVERYTHING&amp;vid=01CRU&amp;lang=en_US&amp;offset=0&amp;query=any,contains,991003716999702656","Catalog Record")</f>
        <v/>
      </c>
      <c r="AT157">
        <f>HYPERLINK("http://www.worldcat.org/oclc/1362785","WorldCat Record")</f>
        <v/>
      </c>
      <c r="AU157" t="inlineStr">
        <is>
          <t>1479679:eng</t>
        </is>
      </c>
      <c r="AV157" t="inlineStr">
        <is>
          <t>1362785</t>
        </is>
      </c>
      <c r="AW157" t="inlineStr">
        <is>
          <t>991003716999702656</t>
        </is>
      </c>
      <c r="AX157" t="inlineStr">
        <is>
          <t>991003716999702656</t>
        </is>
      </c>
      <c r="AY157" t="inlineStr">
        <is>
          <t>2258942380002656</t>
        </is>
      </c>
      <c r="AZ157" t="inlineStr">
        <is>
          <t>BOOK</t>
        </is>
      </c>
      <c r="BC157" t="inlineStr">
        <is>
          <t>32285002861192</t>
        </is>
      </c>
      <c r="BD157" t="inlineStr">
        <is>
          <t>893416710</t>
        </is>
      </c>
    </row>
    <row r="158">
      <c r="A158" t="inlineStr">
        <is>
          <t>No</t>
        </is>
      </c>
      <c r="B158" t="inlineStr">
        <is>
          <t>NA5205 .W55 1997</t>
        </is>
      </c>
      <c r="C158" t="inlineStr">
        <is>
          <t>0                      NA 5205000W  55          1997</t>
        </is>
      </c>
      <c r="D158" t="inlineStr">
        <is>
          <t>Houses of God : region, religion, and architecture in the United States / Peter W. Williams.</t>
        </is>
      </c>
      <c r="F158" t="inlineStr">
        <is>
          <t>No</t>
        </is>
      </c>
      <c r="G158" t="inlineStr">
        <is>
          <t>1</t>
        </is>
      </c>
      <c r="H158" t="inlineStr">
        <is>
          <t>No</t>
        </is>
      </c>
      <c r="I158" t="inlineStr">
        <is>
          <t>No</t>
        </is>
      </c>
      <c r="J158" t="inlineStr">
        <is>
          <t>0</t>
        </is>
      </c>
      <c r="K158" t="inlineStr">
        <is>
          <t>Williams, Peter W.</t>
        </is>
      </c>
      <c r="L158" t="inlineStr">
        <is>
          <t>Urbana : University of Illinois Press, c1997.</t>
        </is>
      </c>
      <c r="M158" t="inlineStr">
        <is>
          <t>1997</t>
        </is>
      </c>
      <c r="O158" t="inlineStr">
        <is>
          <t>eng</t>
        </is>
      </c>
      <c r="P158" t="inlineStr">
        <is>
          <t>ilu</t>
        </is>
      </c>
      <c r="Q158" t="inlineStr">
        <is>
          <t>Public expressions of religion in America</t>
        </is>
      </c>
      <c r="R158" t="inlineStr">
        <is>
          <t xml:space="preserve">NA </t>
        </is>
      </c>
      <c r="S158" t="n">
        <v>9</v>
      </c>
      <c r="T158" t="n">
        <v>9</v>
      </c>
      <c r="U158" t="inlineStr">
        <is>
          <t>1999-04-13</t>
        </is>
      </c>
      <c r="V158" t="inlineStr">
        <is>
          <t>1999-04-13</t>
        </is>
      </c>
      <c r="W158" t="inlineStr">
        <is>
          <t>1998-12-01</t>
        </is>
      </c>
      <c r="X158" t="inlineStr">
        <is>
          <t>1998-12-01</t>
        </is>
      </c>
      <c r="Y158" t="n">
        <v>647</v>
      </c>
      <c r="Z158" t="n">
        <v>602</v>
      </c>
      <c r="AA158" t="n">
        <v>655</v>
      </c>
      <c r="AB158" t="n">
        <v>2</v>
      </c>
      <c r="AC158" t="n">
        <v>2</v>
      </c>
      <c r="AD158" t="n">
        <v>27</v>
      </c>
      <c r="AE158" t="n">
        <v>28</v>
      </c>
      <c r="AF158" t="n">
        <v>10</v>
      </c>
      <c r="AG158" t="n">
        <v>11</v>
      </c>
      <c r="AH158" t="n">
        <v>9</v>
      </c>
      <c r="AI158" t="n">
        <v>9</v>
      </c>
      <c r="AJ158" t="n">
        <v>14</v>
      </c>
      <c r="AK158" t="n">
        <v>14</v>
      </c>
      <c r="AL158" t="n">
        <v>1</v>
      </c>
      <c r="AM158" t="n">
        <v>1</v>
      </c>
      <c r="AN158" t="n">
        <v>0</v>
      </c>
      <c r="AO158" t="n">
        <v>0</v>
      </c>
      <c r="AP158" t="inlineStr">
        <is>
          <t>No</t>
        </is>
      </c>
      <c r="AQ158" t="inlineStr">
        <is>
          <t>Yes</t>
        </is>
      </c>
      <c r="AR158">
        <f>HYPERLINK("http://catalog.hathitrust.org/Record/003945217","HathiTrust Record")</f>
        <v/>
      </c>
      <c r="AS158">
        <f>HYPERLINK("https://creighton-primo.hosted.exlibrisgroup.com/primo-explore/search?tab=default_tab&amp;search_scope=EVERYTHING&amp;vid=01CRU&amp;lang=en_US&amp;offset=0&amp;query=any,contains,991002688439702656","Catalog Record")</f>
        <v/>
      </c>
      <c r="AT158">
        <f>HYPERLINK("http://www.worldcat.org/oclc/35121684","WorldCat Record")</f>
        <v/>
      </c>
      <c r="AU158" t="inlineStr">
        <is>
          <t>43720:eng</t>
        </is>
      </c>
      <c r="AV158" t="inlineStr">
        <is>
          <t>35121684</t>
        </is>
      </c>
      <c r="AW158" t="inlineStr">
        <is>
          <t>991002688439702656</t>
        </is>
      </c>
      <c r="AX158" t="inlineStr">
        <is>
          <t>991002688439702656</t>
        </is>
      </c>
      <c r="AY158" t="inlineStr">
        <is>
          <t>2258567200002656</t>
        </is>
      </c>
      <c r="AZ158" t="inlineStr">
        <is>
          <t>BOOK</t>
        </is>
      </c>
      <c r="BB158" t="inlineStr">
        <is>
          <t>9780252019067</t>
        </is>
      </c>
      <c r="BC158" t="inlineStr">
        <is>
          <t>32285003492583</t>
        </is>
      </c>
      <c r="BD158" t="inlineStr">
        <is>
          <t>893227157</t>
        </is>
      </c>
    </row>
    <row r="159">
      <c r="A159" t="inlineStr">
        <is>
          <t>No</t>
        </is>
      </c>
      <c r="B159" t="inlineStr">
        <is>
          <t>NA5207 .U68 1986</t>
        </is>
      </c>
      <c r="C159" t="inlineStr">
        <is>
          <t>0                      NA 5207000U  68          1986</t>
        </is>
      </c>
      <c r="D159" t="inlineStr">
        <is>
          <t>Holy things and profane : Anglican parish churches in colonial Virginia / Dell Upton.</t>
        </is>
      </c>
      <c r="F159" t="inlineStr">
        <is>
          <t>No</t>
        </is>
      </c>
      <c r="G159" t="inlineStr">
        <is>
          <t>1</t>
        </is>
      </c>
      <c r="H159" t="inlineStr">
        <is>
          <t>No</t>
        </is>
      </c>
      <c r="I159" t="inlineStr">
        <is>
          <t>No</t>
        </is>
      </c>
      <c r="J159" t="inlineStr">
        <is>
          <t>0</t>
        </is>
      </c>
      <c r="K159" t="inlineStr">
        <is>
          <t>Upton, Dell.</t>
        </is>
      </c>
      <c r="L159" t="inlineStr">
        <is>
          <t>New York, N.Y. : Architectural History Foundation ; Cambridge, Mass. : MIT Press, c1986.</t>
        </is>
      </c>
      <c r="M159" t="inlineStr">
        <is>
          <t>1986</t>
        </is>
      </c>
      <c r="O159" t="inlineStr">
        <is>
          <t>eng</t>
        </is>
      </c>
      <c r="P159" t="inlineStr">
        <is>
          <t>nyu</t>
        </is>
      </c>
      <c r="Q159" t="inlineStr">
        <is>
          <t>Architectural History Foundation books ; 10</t>
        </is>
      </c>
      <c r="R159" t="inlineStr">
        <is>
          <t xml:space="preserve">NA </t>
        </is>
      </c>
      <c r="S159" t="n">
        <v>6</v>
      </c>
      <c r="T159" t="n">
        <v>6</v>
      </c>
      <c r="U159" t="inlineStr">
        <is>
          <t>1999-03-31</t>
        </is>
      </c>
      <c r="V159" t="inlineStr">
        <is>
          <t>1999-03-31</t>
        </is>
      </c>
      <c r="W159" t="inlineStr">
        <is>
          <t>1990-02-08</t>
        </is>
      </c>
      <c r="X159" t="inlineStr">
        <is>
          <t>1990-02-08</t>
        </is>
      </c>
      <c r="Y159" t="n">
        <v>359</v>
      </c>
      <c r="Z159" t="n">
        <v>308</v>
      </c>
      <c r="AA159" t="n">
        <v>443</v>
      </c>
      <c r="AB159" t="n">
        <v>3</v>
      </c>
      <c r="AC159" t="n">
        <v>3</v>
      </c>
      <c r="AD159" t="n">
        <v>11</v>
      </c>
      <c r="AE159" t="n">
        <v>22</v>
      </c>
      <c r="AF159" t="n">
        <v>2</v>
      </c>
      <c r="AG159" t="n">
        <v>10</v>
      </c>
      <c r="AH159" t="n">
        <v>5</v>
      </c>
      <c r="AI159" t="n">
        <v>5</v>
      </c>
      <c r="AJ159" t="n">
        <v>4</v>
      </c>
      <c r="AK159" t="n">
        <v>9</v>
      </c>
      <c r="AL159" t="n">
        <v>2</v>
      </c>
      <c r="AM159" t="n">
        <v>2</v>
      </c>
      <c r="AN159" t="n">
        <v>0</v>
      </c>
      <c r="AO159" t="n">
        <v>1</v>
      </c>
      <c r="AP159" t="inlineStr">
        <is>
          <t>No</t>
        </is>
      </c>
      <c r="AQ159" t="inlineStr">
        <is>
          <t>Yes</t>
        </is>
      </c>
      <c r="AR159">
        <f>HYPERLINK("http://catalog.hathitrust.org/Record/000806820","HathiTrust Record")</f>
        <v/>
      </c>
      <c r="AS159">
        <f>HYPERLINK("https://creighton-primo.hosted.exlibrisgroup.com/primo-explore/search?tab=default_tab&amp;search_scope=EVERYTHING&amp;vid=01CRU&amp;lang=en_US&amp;offset=0&amp;query=any,contains,991000760599702656","Catalog Record")</f>
        <v/>
      </c>
      <c r="AT159">
        <f>HYPERLINK("http://www.worldcat.org/oclc/12972939","WorldCat Record")</f>
        <v/>
      </c>
      <c r="AU159" t="inlineStr">
        <is>
          <t>836691333:eng</t>
        </is>
      </c>
      <c r="AV159" t="inlineStr">
        <is>
          <t>12972939</t>
        </is>
      </c>
      <c r="AW159" t="inlineStr">
        <is>
          <t>991000760599702656</t>
        </is>
      </c>
      <c r="AX159" t="inlineStr">
        <is>
          <t>991000760599702656</t>
        </is>
      </c>
      <c r="AY159" t="inlineStr">
        <is>
          <t>2263685100002656</t>
        </is>
      </c>
      <c r="AZ159" t="inlineStr">
        <is>
          <t>BOOK</t>
        </is>
      </c>
      <c r="BB159" t="inlineStr">
        <is>
          <t>9780262210089</t>
        </is>
      </c>
      <c r="BC159" t="inlineStr">
        <is>
          <t>32285000034008</t>
        </is>
      </c>
      <c r="BD159" t="inlineStr">
        <is>
          <t>893521989</t>
        </is>
      </c>
    </row>
    <row r="160">
      <c r="A160" t="inlineStr">
        <is>
          <t>No</t>
        </is>
      </c>
      <c r="B160" t="inlineStr">
        <is>
          <t>NA5210 .S7</t>
        </is>
      </c>
      <c r="C160" t="inlineStr">
        <is>
          <t>0                      NA 5210000S  7</t>
        </is>
      </c>
      <c r="D160" t="inlineStr">
        <is>
          <t>The Gothic revival &amp; American church architecture; an episode in taste, 1840-1856 [by] Phoebe B. Stanton.</t>
        </is>
      </c>
      <c r="F160" t="inlineStr">
        <is>
          <t>No</t>
        </is>
      </c>
      <c r="G160" t="inlineStr">
        <is>
          <t>1</t>
        </is>
      </c>
      <c r="H160" t="inlineStr">
        <is>
          <t>No</t>
        </is>
      </c>
      <c r="I160" t="inlineStr">
        <is>
          <t>No</t>
        </is>
      </c>
      <c r="J160" t="inlineStr">
        <is>
          <t>0</t>
        </is>
      </c>
      <c r="K160" t="inlineStr">
        <is>
          <t>Stanton, Phoebe B.</t>
        </is>
      </c>
      <c r="L160" t="inlineStr">
        <is>
          <t>Baltimore, Johns Hopkins Press [1968]</t>
        </is>
      </c>
      <c r="M160" t="inlineStr">
        <is>
          <t>1968</t>
        </is>
      </c>
      <c r="O160" t="inlineStr">
        <is>
          <t>eng</t>
        </is>
      </c>
      <c r="P160" t="inlineStr">
        <is>
          <t>mdu</t>
        </is>
      </c>
      <c r="Q160" t="inlineStr">
        <is>
          <t>The Johns Hopkins studies in nineteenth-century architecture</t>
        </is>
      </c>
      <c r="R160" t="inlineStr">
        <is>
          <t xml:space="preserve">NA </t>
        </is>
      </c>
      <c r="S160" t="n">
        <v>3</v>
      </c>
      <c r="T160" t="n">
        <v>3</v>
      </c>
      <c r="U160" t="inlineStr">
        <is>
          <t>1999-02-20</t>
        </is>
      </c>
      <c r="V160" t="inlineStr">
        <is>
          <t>1999-02-20</t>
        </is>
      </c>
      <c r="W160" t="inlineStr">
        <is>
          <t>1997-07-01</t>
        </is>
      </c>
      <c r="X160" t="inlineStr">
        <is>
          <t>1997-07-01</t>
        </is>
      </c>
      <c r="Y160" t="n">
        <v>916</v>
      </c>
      <c r="Z160" t="n">
        <v>814</v>
      </c>
      <c r="AA160" t="n">
        <v>865</v>
      </c>
      <c r="AB160" t="n">
        <v>5</v>
      </c>
      <c r="AC160" t="n">
        <v>5</v>
      </c>
      <c r="AD160" t="n">
        <v>40</v>
      </c>
      <c r="AE160" t="n">
        <v>41</v>
      </c>
      <c r="AF160" t="n">
        <v>15</v>
      </c>
      <c r="AG160" t="n">
        <v>16</v>
      </c>
      <c r="AH160" t="n">
        <v>10</v>
      </c>
      <c r="AI160" t="n">
        <v>10</v>
      </c>
      <c r="AJ160" t="n">
        <v>21</v>
      </c>
      <c r="AK160" t="n">
        <v>21</v>
      </c>
      <c r="AL160" t="n">
        <v>4</v>
      </c>
      <c r="AM160" t="n">
        <v>4</v>
      </c>
      <c r="AN160" t="n">
        <v>0</v>
      </c>
      <c r="AO160" t="n">
        <v>0</v>
      </c>
      <c r="AP160" t="inlineStr">
        <is>
          <t>No</t>
        </is>
      </c>
      <c r="AQ160" t="inlineStr">
        <is>
          <t>Yes</t>
        </is>
      </c>
      <c r="AR160">
        <f>HYPERLINK("http://catalog.hathitrust.org/Record/000566790","HathiTrust Record")</f>
        <v/>
      </c>
      <c r="AS160">
        <f>HYPERLINK("https://creighton-primo.hosted.exlibrisgroup.com/primo-explore/search?tab=default_tab&amp;search_scope=EVERYTHING&amp;vid=01CRU&amp;lang=en_US&amp;offset=0&amp;query=any,contains,991002645519702656","Catalog Record")</f>
        <v/>
      </c>
      <c r="AT160">
        <f>HYPERLINK("http://www.worldcat.org/oclc/385717","WorldCat Record")</f>
        <v/>
      </c>
      <c r="AU160" t="inlineStr">
        <is>
          <t>837048865:eng</t>
        </is>
      </c>
      <c r="AV160" t="inlineStr">
        <is>
          <t>385717</t>
        </is>
      </c>
      <c r="AW160" t="inlineStr">
        <is>
          <t>991002645519702656</t>
        </is>
      </c>
      <c r="AX160" t="inlineStr">
        <is>
          <t>991002645519702656</t>
        </is>
      </c>
      <c r="AY160" t="inlineStr">
        <is>
          <t>2258842440002656</t>
        </is>
      </c>
      <c r="AZ160" t="inlineStr">
        <is>
          <t>BOOK</t>
        </is>
      </c>
      <c r="BC160" t="inlineStr">
        <is>
          <t>32285002862588</t>
        </is>
      </c>
      <c r="BD160" t="inlineStr">
        <is>
          <t>893691829</t>
        </is>
      </c>
    </row>
    <row r="161">
      <c r="A161" t="inlineStr">
        <is>
          <t>No</t>
        </is>
      </c>
      <c r="B161" t="inlineStr">
        <is>
          <t>NA5453 .C35 1998</t>
        </is>
      </c>
      <c r="C161" t="inlineStr">
        <is>
          <t>0                      NA 5453000C  35          1998</t>
        </is>
      </c>
      <c r="D161" t="inlineStr">
        <is>
          <t>Medieval architecture in Western Europe : from A.D. 300 to 1500 / Robert G. Calkins.</t>
        </is>
      </c>
      <c r="F161" t="inlineStr">
        <is>
          <t>No</t>
        </is>
      </c>
      <c r="G161" t="inlineStr">
        <is>
          <t>1</t>
        </is>
      </c>
      <c r="H161" t="inlineStr">
        <is>
          <t>No</t>
        </is>
      </c>
      <c r="I161" t="inlineStr">
        <is>
          <t>No</t>
        </is>
      </c>
      <c r="J161" t="inlineStr">
        <is>
          <t>0</t>
        </is>
      </c>
      <c r="K161" t="inlineStr">
        <is>
          <t>Calkins, Robert G.</t>
        </is>
      </c>
      <c r="L161" t="inlineStr">
        <is>
          <t>New York : Oxford University Press, 1998.</t>
        </is>
      </c>
      <c r="M161" t="inlineStr">
        <is>
          <t>1998</t>
        </is>
      </c>
      <c r="O161" t="inlineStr">
        <is>
          <t>eng</t>
        </is>
      </c>
      <c r="P161" t="inlineStr">
        <is>
          <t>nyu</t>
        </is>
      </c>
      <c r="R161" t="inlineStr">
        <is>
          <t xml:space="preserve">NA </t>
        </is>
      </c>
      <c r="S161" t="n">
        <v>10</v>
      </c>
      <c r="T161" t="n">
        <v>10</v>
      </c>
      <c r="U161" t="inlineStr">
        <is>
          <t>2010-02-13</t>
        </is>
      </c>
      <c r="V161" t="inlineStr">
        <is>
          <t>2010-02-13</t>
        </is>
      </c>
      <c r="W161" t="inlineStr">
        <is>
          <t>1999-03-23</t>
        </is>
      </c>
      <c r="X161" t="inlineStr">
        <is>
          <t>1999-03-23</t>
        </is>
      </c>
      <c r="Y161" t="n">
        <v>696</v>
      </c>
      <c r="Z161" t="n">
        <v>604</v>
      </c>
      <c r="AA161" t="n">
        <v>610</v>
      </c>
      <c r="AB161" t="n">
        <v>3</v>
      </c>
      <c r="AC161" t="n">
        <v>3</v>
      </c>
      <c r="AD161" t="n">
        <v>31</v>
      </c>
      <c r="AE161" t="n">
        <v>31</v>
      </c>
      <c r="AF161" t="n">
        <v>15</v>
      </c>
      <c r="AG161" t="n">
        <v>15</v>
      </c>
      <c r="AH161" t="n">
        <v>7</v>
      </c>
      <c r="AI161" t="n">
        <v>7</v>
      </c>
      <c r="AJ161" t="n">
        <v>15</v>
      </c>
      <c r="AK161" t="n">
        <v>15</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HYPERLINK("https://creighton-primo.hosted.exlibrisgroup.com/primo-explore/search?tab=default_tab&amp;search_scope=EVERYTHING&amp;vid=01CRU&amp;lang=en_US&amp;offset=0&amp;query=any,contains,991004624769702656","Catalog Record")</f>
        <v/>
      </c>
      <c r="AT161">
        <f>HYPERLINK("http://www.worldcat.org/oclc/36528313","WorldCat Record")</f>
        <v/>
      </c>
      <c r="AU161" t="inlineStr">
        <is>
          <t>597148:eng</t>
        </is>
      </c>
      <c r="AV161" t="inlineStr">
        <is>
          <t>36528313</t>
        </is>
      </c>
      <c r="AW161" t="inlineStr">
        <is>
          <t>991004624769702656</t>
        </is>
      </c>
      <c r="AX161" t="inlineStr">
        <is>
          <t>991004624769702656</t>
        </is>
      </c>
      <c r="AY161" t="inlineStr">
        <is>
          <t>2262794970002656</t>
        </is>
      </c>
      <c r="AZ161" t="inlineStr">
        <is>
          <t>BOOK</t>
        </is>
      </c>
      <c r="BB161" t="inlineStr">
        <is>
          <t>9780195112412</t>
        </is>
      </c>
      <c r="BC161" t="inlineStr">
        <is>
          <t>32285003533196</t>
        </is>
      </c>
      <c r="BD161" t="inlineStr">
        <is>
          <t>893247782</t>
        </is>
      </c>
    </row>
    <row r="162">
      <c r="A162" t="inlineStr">
        <is>
          <t>No</t>
        </is>
      </c>
      <c r="B162" t="inlineStr">
        <is>
          <t>NA5463 .M64 1979</t>
        </is>
      </c>
      <c r="C162" t="inlineStr">
        <is>
          <t>0                      NA 5463000M  64          1979</t>
        </is>
      </c>
      <c r="D162" t="inlineStr">
        <is>
          <t>Cathedrals and abbeys of England and Wales : the building church, 600-1540 / Richard Morris.</t>
        </is>
      </c>
      <c r="F162" t="inlineStr">
        <is>
          <t>No</t>
        </is>
      </c>
      <c r="G162" t="inlineStr">
        <is>
          <t>1</t>
        </is>
      </c>
      <c r="H162" t="inlineStr">
        <is>
          <t>No</t>
        </is>
      </c>
      <c r="I162" t="inlineStr">
        <is>
          <t>No</t>
        </is>
      </c>
      <c r="J162" t="inlineStr">
        <is>
          <t>0</t>
        </is>
      </c>
      <c r="K162" t="inlineStr">
        <is>
          <t>Morris, Richard, 1947-</t>
        </is>
      </c>
      <c r="L162" t="inlineStr">
        <is>
          <t>New York : W. W. Norton, 1979.</t>
        </is>
      </c>
      <c r="M162" t="inlineStr">
        <is>
          <t>1979</t>
        </is>
      </c>
      <c r="N162" t="inlineStr">
        <is>
          <t>1st American ed.</t>
        </is>
      </c>
      <c r="O162" t="inlineStr">
        <is>
          <t>eng</t>
        </is>
      </c>
      <c r="P162" t="inlineStr">
        <is>
          <t>nyu</t>
        </is>
      </c>
      <c r="R162" t="inlineStr">
        <is>
          <t xml:space="preserve">NA </t>
        </is>
      </c>
      <c r="S162" t="n">
        <v>5</v>
      </c>
      <c r="T162" t="n">
        <v>5</v>
      </c>
      <c r="U162" t="inlineStr">
        <is>
          <t>2001-03-15</t>
        </is>
      </c>
      <c r="V162" t="inlineStr">
        <is>
          <t>2001-03-15</t>
        </is>
      </c>
      <c r="W162" t="inlineStr">
        <is>
          <t>1990-09-07</t>
        </is>
      </c>
      <c r="X162" t="inlineStr">
        <is>
          <t>1990-09-07</t>
        </is>
      </c>
      <c r="Y162" t="n">
        <v>350</v>
      </c>
      <c r="Z162" t="n">
        <v>335</v>
      </c>
      <c r="AA162" t="n">
        <v>408</v>
      </c>
      <c r="AB162" t="n">
        <v>2</v>
      </c>
      <c r="AC162" t="n">
        <v>3</v>
      </c>
      <c r="AD162" t="n">
        <v>13</v>
      </c>
      <c r="AE162" t="n">
        <v>16</v>
      </c>
      <c r="AF162" t="n">
        <v>4</v>
      </c>
      <c r="AG162" t="n">
        <v>5</v>
      </c>
      <c r="AH162" t="n">
        <v>2</v>
      </c>
      <c r="AI162" t="n">
        <v>3</v>
      </c>
      <c r="AJ162" t="n">
        <v>7</v>
      </c>
      <c r="AK162" t="n">
        <v>8</v>
      </c>
      <c r="AL162" t="n">
        <v>1</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HYPERLINK("https://creighton-primo.hosted.exlibrisgroup.com/primo-explore/search?tab=default_tab&amp;search_scope=EVERYTHING&amp;vid=01CRU&amp;lang=en_US&amp;offset=0&amp;query=any,contains,991004872409702656","Catalog Record")</f>
        <v/>
      </c>
      <c r="AT162">
        <f>HYPERLINK("http://www.worldcat.org/oclc/5765581","WorldCat Record")</f>
        <v/>
      </c>
      <c r="AU162" t="inlineStr">
        <is>
          <t>292309731:eng</t>
        </is>
      </c>
      <c r="AV162" t="inlineStr">
        <is>
          <t>5765581</t>
        </is>
      </c>
      <c r="AW162" t="inlineStr">
        <is>
          <t>991004872409702656</t>
        </is>
      </c>
      <c r="AX162" t="inlineStr">
        <is>
          <t>991004872409702656</t>
        </is>
      </c>
      <c r="AY162" t="inlineStr">
        <is>
          <t>2269540670002656</t>
        </is>
      </c>
      <c r="AZ162" t="inlineStr">
        <is>
          <t>BOOK</t>
        </is>
      </c>
      <c r="BB162" t="inlineStr">
        <is>
          <t>9780393012811</t>
        </is>
      </c>
      <c r="BC162" t="inlineStr">
        <is>
          <t>32285000295070</t>
        </is>
      </c>
      <c r="BD162" t="inlineStr">
        <is>
          <t>893229956</t>
        </is>
      </c>
    </row>
    <row r="163">
      <c r="A163" t="inlineStr">
        <is>
          <t>No</t>
        </is>
      </c>
      <c r="B163" t="inlineStr">
        <is>
          <t>NA5463 .T37 1989</t>
        </is>
      </c>
      <c r="C163" t="inlineStr">
        <is>
          <t>0                      NA 5463000T  37          1989</t>
        </is>
      </c>
      <c r="D163" t="inlineStr">
        <is>
          <t>Great cathedrals of Britain / Tim Tatton-Brown.</t>
        </is>
      </c>
      <c r="F163" t="inlineStr">
        <is>
          <t>No</t>
        </is>
      </c>
      <c r="G163" t="inlineStr">
        <is>
          <t>1</t>
        </is>
      </c>
      <c r="H163" t="inlineStr">
        <is>
          <t>No</t>
        </is>
      </c>
      <c r="I163" t="inlineStr">
        <is>
          <t>No</t>
        </is>
      </c>
      <c r="J163" t="inlineStr">
        <is>
          <t>0</t>
        </is>
      </c>
      <c r="K163" t="inlineStr">
        <is>
          <t>Tatton-Brown, T. W. T.</t>
        </is>
      </c>
      <c r="L163" t="inlineStr">
        <is>
          <t>London : B.B.C. Books, 1989.</t>
        </is>
      </c>
      <c r="M163" t="inlineStr">
        <is>
          <t>1989</t>
        </is>
      </c>
      <c r="O163" t="inlineStr">
        <is>
          <t>eng</t>
        </is>
      </c>
      <c r="P163" t="inlineStr">
        <is>
          <t>enk</t>
        </is>
      </c>
      <c r="R163" t="inlineStr">
        <is>
          <t xml:space="preserve">NA </t>
        </is>
      </c>
      <c r="S163" t="n">
        <v>2</v>
      </c>
      <c r="T163" t="n">
        <v>2</v>
      </c>
      <c r="U163" t="inlineStr">
        <is>
          <t>1999-11-04</t>
        </is>
      </c>
      <c r="V163" t="inlineStr">
        <is>
          <t>1999-11-04</t>
        </is>
      </c>
      <c r="W163" t="inlineStr">
        <is>
          <t>1989-11-29</t>
        </is>
      </c>
      <c r="X163" t="inlineStr">
        <is>
          <t>1989-11-29</t>
        </is>
      </c>
      <c r="Y163" t="n">
        <v>133</v>
      </c>
      <c r="Z163" t="n">
        <v>57</v>
      </c>
      <c r="AA163" t="n">
        <v>58</v>
      </c>
      <c r="AB163" t="n">
        <v>2</v>
      </c>
      <c r="AC163" t="n">
        <v>2</v>
      </c>
      <c r="AD163" t="n">
        <v>4</v>
      </c>
      <c r="AE163" t="n">
        <v>4</v>
      </c>
      <c r="AF163" t="n">
        <v>2</v>
      </c>
      <c r="AG163" t="n">
        <v>2</v>
      </c>
      <c r="AH163" t="n">
        <v>0</v>
      </c>
      <c r="AI163" t="n">
        <v>0</v>
      </c>
      <c r="AJ163" t="n">
        <v>2</v>
      </c>
      <c r="AK163" t="n">
        <v>2</v>
      </c>
      <c r="AL163" t="n">
        <v>1</v>
      </c>
      <c r="AM163" t="n">
        <v>1</v>
      </c>
      <c r="AN163" t="n">
        <v>0</v>
      </c>
      <c r="AO163" t="n">
        <v>0</v>
      </c>
      <c r="AP163" t="inlineStr">
        <is>
          <t>No</t>
        </is>
      </c>
      <c r="AQ163" t="inlineStr">
        <is>
          <t>Yes</t>
        </is>
      </c>
      <c r="AR163">
        <f>HYPERLINK("http://catalog.hathitrust.org/Record/001541023","HathiTrust Record")</f>
        <v/>
      </c>
      <c r="AS163">
        <f>HYPERLINK("https://creighton-primo.hosted.exlibrisgroup.com/primo-explore/search?tab=default_tab&amp;search_scope=EVERYTHING&amp;vid=01CRU&amp;lang=en_US&amp;offset=0&amp;query=any,contains,991001579279702656","Catalog Record")</f>
        <v/>
      </c>
      <c r="AT163">
        <f>HYPERLINK("http://www.worldcat.org/oclc/24710046","WorldCat Record")</f>
        <v/>
      </c>
      <c r="AU163" t="inlineStr">
        <is>
          <t>26382872:eng</t>
        </is>
      </c>
      <c r="AV163" t="inlineStr">
        <is>
          <t>24710046</t>
        </is>
      </c>
      <c r="AW163" t="inlineStr">
        <is>
          <t>991001579279702656</t>
        </is>
      </c>
      <c r="AX163" t="inlineStr">
        <is>
          <t>991001579279702656</t>
        </is>
      </c>
      <c r="AY163" t="inlineStr">
        <is>
          <t>2257338200002656</t>
        </is>
      </c>
      <c r="AZ163" t="inlineStr">
        <is>
          <t>BOOK</t>
        </is>
      </c>
      <c r="BB163" t="inlineStr">
        <is>
          <t>9780563207306</t>
        </is>
      </c>
      <c r="BC163" t="inlineStr">
        <is>
          <t>32285000016104</t>
        </is>
      </c>
      <c r="BD163" t="inlineStr">
        <is>
          <t>893351922</t>
        </is>
      </c>
    </row>
    <row r="164">
      <c r="A164" t="inlineStr">
        <is>
          <t>No</t>
        </is>
      </c>
      <c r="B164" t="inlineStr">
        <is>
          <t>NA5541 .P4</t>
        </is>
      </c>
      <c r="C164" t="inlineStr">
        <is>
          <t>0                      NA 5541000P  4</t>
        </is>
      </c>
      <c r="D164" t="inlineStr">
        <is>
          <t>French cathedrals, monasteries and abbeys, and sacred sites of France, by Elizabeth Robins Pennell. Illustrated with one hundred and eighty-three pictures by Joseph Pennell, also with plans and diagrams.</t>
        </is>
      </c>
      <c r="F164" t="inlineStr">
        <is>
          <t>No</t>
        </is>
      </c>
      <c r="G164" t="inlineStr">
        <is>
          <t>1</t>
        </is>
      </c>
      <c r="H164" t="inlineStr">
        <is>
          <t>No</t>
        </is>
      </c>
      <c r="I164" t="inlineStr">
        <is>
          <t>No</t>
        </is>
      </c>
      <c r="J164" t="inlineStr">
        <is>
          <t>0</t>
        </is>
      </c>
      <c r="K164" t="inlineStr">
        <is>
          <t>Pennell, Elizabeth Robins, 1855-1936.</t>
        </is>
      </c>
      <c r="L164" t="inlineStr">
        <is>
          <t>New York, The Century Co., 1909.</t>
        </is>
      </c>
      <c r="M164" t="inlineStr">
        <is>
          <t>1909</t>
        </is>
      </c>
      <c r="O164" t="inlineStr">
        <is>
          <t>eng</t>
        </is>
      </c>
      <c r="P164" t="inlineStr">
        <is>
          <t>nyu</t>
        </is>
      </c>
      <c r="R164" t="inlineStr">
        <is>
          <t xml:space="preserve">NA </t>
        </is>
      </c>
      <c r="S164" t="n">
        <v>2</v>
      </c>
      <c r="T164" t="n">
        <v>2</v>
      </c>
      <c r="U164" t="inlineStr">
        <is>
          <t>1998-05-13</t>
        </is>
      </c>
      <c r="V164" t="inlineStr">
        <is>
          <t>1998-05-13</t>
        </is>
      </c>
      <c r="W164" t="inlineStr">
        <is>
          <t>1997-07-01</t>
        </is>
      </c>
      <c r="X164" t="inlineStr">
        <is>
          <t>1997-07-01</t>
        </is>
      </c>
      <c r="Y164" t="n">
        <v>215</v>
      </c>
      <c r="Z164" t="n">
        <v>209</v>
      </c>
      <c r="AA164" t="n">
        <v>340</v>
      </c>
      <c r="AB164" t="n">
        <v>2</v>
      </c>
      <c r="AC164" t="n">
        <v>3</v>
      </c>
      <c r="AD164" t="n">
        <v>9</v>
      </c>
      <c r="AE164" t="n">
        <v>18</v>
      </c>
      <c r="AF164" t="n">
        <v>2</v>
      </c>
      <c r="AG164" t="n">
        <v>3</v>
      </c>
      <c r="AH164" t="n">
        <v>3</v>
      </c>
      <c r="AI164" t="n">
        <v>5</v>
      </c>
      <c r="AJ164" t="n">
        <v>6</v>
      </c>
      <c r="AK164" t="n">
        <v>11</v>
      </c>
      <c r="AL164" t="n">
        <v>1</v>
      </c>
      <c r="AM164" t="n">
        <v>2</v>
      </c>
      <c r="AN164" t="n">
        <v>0</v>
      </c>
      <c r="AO164" t="n">
        <v>0</v>
      </c>
      <c r="AP164" t="inlineStr">
        <is>
          <t>Yes</t>
        </is>
      </c>
      <c r="AQ164" t="inlineStr">
        <is>
          <t>No</t>
        </is>
      </c>
      <c r="AR164">
        <f>HYPERLINK("http://catalog.hathitrust.org/Record/000602393","HathiTrust Record")</f>
        <v/>
      </c>
      <c r="AS164">
        <f>HYPERLINK("https://creighton-primo.hosted.exlibrisgroup.com/primo-explore/search?tab=default_tab&amp;search_scope=EVERYTHING&amp;vid=01CRU&amp;lang=en_US&amp;offset=0&amp;query=any,contains,991002589189702656","Catalog Record")</f>
        <v/>
      </c>
      <c r="AT164">
        <f>HYPERLINK("http://www.worldcat.org/oclc/375443","WorldCat Record")</f>
        <v/>
      </c>
      <c r="AU164" t="inlineStr">
        <is>
          <t>1463901:eng</t>
        </is>
      </c>
      <c r="AV164" t="inlineStr">
        <is>
          <t>375443</t>
        </is>
      </c>
      <c r="AW164" t="inlineStr">
        <is>
          <t>991002589189702656</t>
        </is>
      </c>
      <c r="AX164" t="inlineStr">
        <is>
          <t>991002589189702656</t>
        </is>
      </c>
      <c r="AY164" t="inlineStr">
        <is>
          <t>2263991910002656</t>
        </is>
      </c>
      <c r="AZ164" t="inlineStr">
        <is>
          <t>BOOK</t>
        </is>
      </c>
      <c r="BC164" t="inlineStr">
        <is>
          <t>32285002862703</t>
        </is>
      </c>
      <c r="BD164" t="inlineStr">
        <is>
          <t>893227034</t>
        </is>
      </c>
    </row>
    <row r="165">
      <c r="A165" t="inlineStr">
        <is>
          <t>No</t>
        </is>
      </c>
      <c r="B165" t="inlineStr">
        <is>
          <t>NA5541 .R613</t>
        </is>
      </c>
      <c r="C165" t="inlineStr">
        <is>
          <t>0                      NA 5541000R  613</t>
        </is>
      </c>
      <c r="D165" t="inlineStr">
        <is>
          <t>Cathedrals of France. Translated by Elisabeth Chase Geissbuhler. With a pref. by Herbert Read.</t>
        </is>
      </c>
      <c r="F165" t="inlineStr">
        <is>
          <t>No</t>
        </is>
      </c>
      <c r="G165" t="inlineStr">
        <is>
          <t>1</t>
        </is>
      </c>
      <c r="H165" t="inlineStr">
        <is>
          <t>No</t>
        </is>
      </c>
      <c r="I165" t="inlineStr">
        <is>
          <t>No</t>
        </is>
      </c>
      <c r="J165" t="inlineStr">
        <is>
          <t>0</t>
        </is>
      </c>
      <c r="K165" t="inlineStr">
        <is>
          <t>Rodin, Auguste, 1840-1917.</t>
        </is>
      </c>
      <c r="L165" t="inlineStr">
        <is>
          <t>Boston, Beacon Press [1965]</t>
        </is>
      </c>
      <c r="M165" t="inlineStr">
        <is>
          <t>1965</t>
        </is>
      </c>
      <c r="O165" t="inlineStr">
        <is>
          <t>eng</t>
        </is>
      </c>
      <c r="P165" t="inlineStr">
        <is>
          <t>mau</t>
        </is>
      </c>
      <c r="R165" t="inlineStr">
        <is>
          <t xml:space="preserve">NA </t>
        </is>
      </c>
      <c r="S165" t="n">
        <v>2</v>
      </c>
      <c r="T165" t="n">
        <v>2</v>
      </c>
      <c r="U165" t="inlineStr">
        <is>
          <t>2003-11-30</t>
        </is>
      </c>
      <c r="V165" t="inlineStr">
        <is>
          <t>2003-11-30</t>
        </is>
      </c>
      <c r="W165" t="inlineStr">
        <is>
          <t>1997-07-01</t>
        </is>
      </c>
      <c r="X165" t="inlineStr">
        <is>
          <t>1997-07-01</t>
        </is>
      </c>
      <c r="Y165" t="n">
        <v>528</v>
      </c>
      <c r="Z165" t="n">
        <v>493</v>
      </c>
      <c r="AA165" t="n">
        <v>684</v>
      </c>
      <c r="AB165" t="n">
        <v>2</v>
      </c>
      <c r="AC165" t="n">
        <v>4</v>
      </c>
      <c r="AD165" t="n">
        <v>14</v>
      </c>
      <c r="AE165" t="n">
        <v>20</v>
      </c>
      <c r="AF165" t="n">
        <v>4</v>
      </c>
      <c r="AG165" t="n">
        <v>5</v>
      </c>
      <c r="AH165" t="n">
        <v>1</v>
      </c>
      <c r="AI165" t="n">
        <v>3</v>
      </c>
      <c r="AJ165" t="n">
        <v>9</v>
      </c>
      <c r="AK165" t="n">
        <v>13</v>
      </c>
      <c r="AL165" t="n">
        <v>1</v>
      </c>
      <c r="AM165" t="n">
        <v>2</v>
      </c>
      <c r="AN165" t="n">
        <v>0</v>
      </c>
      <c r="AO165" t="n">
        <v>0</v>
      </c>
      <c r="AP165" t="inlineStr">
        <is>
          <t>No</t>
        </is>
      </c>
      <c r="AQ165" t="inlineStr">
        <is>
          <t>Yes</t>
        </is>
      </c>
      <c r="AR165">
        <f>HYPERLINK("http://catalog.hathitrust.org/Record/000568124","HathiTrust Record")</f>
        <v/>
      </c>
      <c r="AS165">
        <f>HYPERLINK("https://creighton-primo.hosted.exlibrisgroup.com/primo-explore/search?tab=default_tab&amp;search_scope=EVERYTHING&amp;vid=01CRU&amp;lang=en_US&amp;offset=0&amp;query=any,contains,991005355339702656","Catalog Record")</f>
        <v/>
      </c>
      <c r="AT165">
        <f>HYPERLINK("http://www.worldcat.org/oclc/420357","WorldCat Record")</f>
        <v/>
      </c>
      <c r="AU165" t="inlineStr">
        <is>
          <t>3375:eng</t>
        </is>
      </c>
      <c r="AV165" t="inlineStr">
        <is>
          <t>420357</t>
        </is>
      </c>
      <c r="AW165" t="inlineStr">
        <is>
          <t>991005355339702656</t>
        </is>
      </c>
      <c r="AX165" t="inlineStr">
        <is>
          <t>991005355339702656</t>
        </is>
      </c>
      <c r="AY165" t="inlineStr">
        <is>
          <t>2270678050002656</t>
        </is>
      </c>
      <c r="AZ165" t="inlineStr">
        <is>
          <t>BOOK</t>
        </is>
      </c>
      <c r="BC165" t="inlineStr">
        <is>
          <t>32285002862711</t>
        </is>
      </c>
      <c r="BD165" t="inlineStr">
        <is>
          <t>893508030</t>
        </is>
      </c>
    </row>
    <row r="166">
      <c r="A166" t="inlineStr">
        <is>
          <t>No</t>
        </is>
      </c>
      <c r="B166" t="inlineStr">
        <is>
          <t>NA5543 .B7 1985</t>
        </is>
      </c>
      <c r="C166" t="inlineStr">
        <is>
          <t>0                      NA 5543000B  7           1985</t>
        </is>
      </c>
      <c r="D166" t="inlineStr">
        <is>
          <t>St. Louis and the court style in Gothic architecture / Robert Branner.</t>
        </is>
      </c>
      <c r="F166" t="inlineStr">
        <is>
          <t>No</t>
        </is>
      </c>
      <c r="G166" t="inlineStr">
        <is>
          <t>1</t>
        </is>
      </c>
      <c r="H166" t="inlineStr">
        <is>
          <t>No</t>
        </is>
      </c>
      <c r="I166" t="inlineStr">
        <is>
          <t>No</t>
        </is>
      </c>
      <c r="J166" t="inlineStr">
        <is>
          <t>0</t>
        </is>
      </c>
      <c r="K166" t="inlineStr">
        <is>
          <t>Branner, Robert.</t>
        </is>
      </c>
      <c r="L166" t="inlineStr">
        <is>
          <t>London : A. Zwemmer : distributed by Sotheby's Publications, Harper and Row, 1985, c1965.</t>
        </is>
      </c>
      <c r="M166" t="inlineStr">
        <is>
          <t>1985</t>
        </is>
      </c>
      <c r="O166" t="inlineStr">
        <is>
          <t>eng</t>
        </is>
      </c>
      <c r="P166" t="inlineStr">
        <is>
          <t>enk</t>
        </is>
      </c>
      <c r="Q166" t="inlineStr">
        <is>
          <t>Studies in architecture ; v. 7</t>
        </is>
      </c>
      <c r="R166" t="inlineStr">
        <is>
          <t xml:space="preserve">NA </t>
        </is>
      </c>
      <c r="S166" t="n">
        <v>7</v>
      </c>
      <c r="T166" t="n">
        <v>7</v>
      </c>
      <c r="U166" t="inlineStr">
        <is>
          <t>1998-05-13</t>
        </is>
      </c>
      <c r="V166" t="inlineStr">
        <is>
          <t>1998-05-13</t>
        </is>
      </c>
      <c r="W166" t="inlineStr">
        <is>
          <t>1990-12-19</t>
        </is>
      </c>
      <c r="X166" t="inlineStr">
        <is>
          <t>1990-12-19</t>
        </is>
      </c>
      <c r="Y166" t="n">
        <v>98</v>
      </c>
      <c r="Z166" t="n">
        <v>78</v>
      </c>
      <c r="AA166" t="n">
        <v>344</v>
      </c>
      <c r="AB166" t="n">
        <v>2</v>
      </c>
      <c r="AC166" t="n">
        <v>3</v>
      </c>
      <c r="AD166" t="n">
        <v>6</v>
      </c>
      <c r="AE166" t="n">
        <v>20</v>
      </c>
      <c r="AF166" t="n">
        <v>3</v>
      </c>
      <c r="AG166" t="n">
        <v>6</v>
      </c>
      <c r="AH166" t="n">
        <v>2</v>
      </c>
      <c r="AI166" t="n">
        <v>5</v>
      </c>
      <c r="AJ166" t="n">
        <v>2</v>
      </c>
      <c r="AK166" t="n">
        <v>10</v>
      </c>
      <c r="AL166" t="n">
        <v>1</v>
      </c>
      <c r="AM166" t="n">
        <v>2</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HYPERLINK("https://creighton-primo.hosted.exlibrisgroup.com/primo-explore/search?tab=default_tab&amp;search_scope=EVERYTHING&amp;vid=01CRU&amp;lang=en_US&amp;offset=0&amp;query=any,contains,991000953869702656","Catalog Record")</f>
        <v/>
      </c>
      <c r="AT166">
        <f>HYPERLINK("http://www.worldcat.org/oclc/14696067","WorldCat Record")</f>
        <v/>
      </c>
      <c r="AU166" t="inlineStr">
        <is>
          <t>1667763:eng</t>
        </is>
      </c>
      <c r="AV166" t="inlineStr">
        <is>
          <t>14696067</t>
        </is>
      </c>
      <c r="AW166" t="inlineStr">
        <is>
          <t>991000953869702656</t>
        </is>
      </c>
      <c r="AX166" t="inlineStr">
        <is>
          <t>991000953869702656</t>
        </is>
      </c>
      <c r="AY166" t="inlineStr">
        <is>
          <t>2258598450002656</t>
        </is>
      </c>
      <c r="AZ166" t="inlineStr">
        <is>
          <t>BOOK</t>
        </is>
      </c>
      <c r="BB166" t="inlineStr">
        <is>
          <t>9780302027530</t>
        </is>
      </c>
      <c r="BC166" t="inlineStr">
        <is>
          <t>32285000405463</t>
        </is>
      </c>
      <c r="BD166" t="inlineStr">
        <is>
          <t>893772158</t>
        </is>
      </c>
    </row>
    <row r="167">
      <c r="A167" t="inlineStr">
        <is>
          <t>No</t>
        </is>
      </c>
      <c r="B167" t="inlineStr">
        <is>
          <t>NA5544 .E8</t>
        </is>
      </c>
      <c r="C167" t="inlineStr">
        <is>
          <t>0                      NA 5544000E  8</t>
        </is>
      </c>
      <c r="D167" t="inlineStr">
        <is>
          <t>Monastic architecture in France, from the Renaissance to the Revolution.</t>
        </is>
      </c>
      <c r="F167" t="inlineStr">
        <is>
          <t>No</t>
        </is>
      </c>
      <c r="G167" t="inlineStr">
        <is>
          <t>1</t>
        </is>
      </c>
      <c r="H167" t="inlineStr">
        <is>
          <t>No</t>
        </is>
      </c>
      <c r="I167" t="inlineStr">
        <is>
          <t>No</t>
        </is>
      </c>
      <c r="J167" t="inlineStr">
        <is>
          <t>0</t>
        </is>
      </c>
      <c r="K167" t="inlineStr">
        <is>
          <t>Evans, Joan, 1893-1977.</t>
        </is>
      </c>
      <c r="L167" t="inlineStr">
        <is>
          <t>Cambridge (Eng.) University Press, 1964.</t>
        </is>
      </c>
      <c r="M167" t="inlineStr">
        <is>
          <t>1964</t>
        </is>
      </c>
      <c r="O167" t="inlineStr">
        <is>
          <t>eng</t>
        </is>
      </c>
      <c r="P167" t="inlineStr">
        <is>
          <t>enk</t>
        </is>
      </c>
      <c r="R167" t="inlineStr">
        <is>
          <t xml:space="preserve">NA </t>
        </is>
      </c>
      <c r="S167" t="n">
        <v>2</v>
      </c>
      <c r="T167" t="n">
        <v>2</v>
      </c>
      <c r="U167" t="inlineStr">
        <is>
          <t>2006-04-17</t>
        </is>
      </c>
      <c r="V167" t="inlineStr">
        <is>
          <t>2006-04-17</t>
        </is>
      </c>
      <c r="W167" t="inlineStr">
        <is>
          <t>1997-07-01</t>
        </is>
      </c>
      <c r="X167" t="inlineStr">
        <is>
          <t>1997-07-01</t>
        </is>
      </c>
      <c r="Y167" t="n">
        <v>495</v>
      </c>
      <c r="Z167" t="n">
        <v>395</v>
      </c>
      <c r="AA167" t="n">
        <v>488</v>
      </c>
      <c r="AB167" t="n">
        <v>3</v>
      </c>
      <c r="AC167" t="n">
        <v>3</v>
      </c>
      <c r="AD167" t="n">
        <v>15</v>
      </c>
      <c r="AE167" t="n">
        <v>23</v>
      </c>
      <c r="AF167" t="n">
        <v>3</v>
      </c>
      <c r="AG167" t="n">
        <v>9</v>
      </c>
      <c r="AH167" t="n">
        <v>4</v>
      </c>
      <c r="AI167" t="n">
        <v>5</v>
      </c>
      <c r="AJ167" t="n">
        <v>10</v>
      </c>
      <c r="AK167" t="n">
        <v>14</v>
      </c>
      <c r="AL167" t="n">
        <v>2</v>
      </c>
      <c r="AM167" t="n">
        <v>2</v>
      </c>
      <c r="AN167" t="n">
        <v>0</v>
      </c>
      <c r="AO167" t="n">
        <v>0</v>
      </c>
      <c r="AP167" t="inlineStr">
        <is>
          <t>No</t>
        </is>
      </c>
      <c r="AQ167" t="inlineStr">
        <is>
          <t>Yes</t>
        </is>
      </c>
      <c r="AR167">
        <f>HYPERLINK("http://catalog.hathitrust.org/Record/000567362","HathiTrust Record")</f>
        <v/>
      </c>
      <c r="AS167">
        <f>HYPERLINK("https://creighton-primo.hosted.exlibrisgroup.com/primo-explore/search?tab=default_tab&amp;search_scope=EVERYTHING&amp;vid=01CRU&amp;lang=en_US&amp;offset=0&amp;query=any,contains,991003769639702656","Catalog Record")</f>
        <v/>
      </c>
      <c r="AT167">
        <f>HYPERLINK("http://www.worldcat.org/oclc/1467685","WorldCat Record")</f>
        <v/>
      </c>
      <c r="AU167" t="inlineStr">
        <is>
          <t>38501683:eng</t>
        </is>
      </c>
      <c r="AV167" t="inlineStr">
        <is>
          <t>1467685</t>
        </is>
      </c>
      <c r="AW167" t="inlineStr">
        <is>
          <t>991003769639702656</t>
        </is>
      </c>
      <c r="AX167" t="inlineStr">
        <is>
          <t>991003769639702656</t>
        </is>
      </c>
      <c r="AY167" t="inlineStr">
        <is>
          <t>2261440740002656</t>
        </is>
      </c>
      <c r="AZ167" t="inlineStr">
        <is>
          <t>BOOK</t>
        </is>
      </c>
      <c r="BC167" t="inlineStr">
        <is>
          <t>32285002862737</t>
        </is>
      </c>
      <c r="BD167" t="inlineStr">
        <is>
          <t>893787754</t>
        </is>
      </c>
    </row>
    <row r="168">
      <c r="A168" t="inlineStr">
        <is>
          <t>No</t>
        </is>
      </c>
      <c r="B168" t="inlineStr">
        <is>
          <t>NA5550.N7 T4 1962</t>
        </is>
      </c>
      <c r="C168" t="inlineStr">
        <is>
          <t>0                      NA 5550000N  7                  T  4           1962</t>
        </is>
      </c>
      <c r="D168" t="inlineStr">
        <is>
          <t>Notre-Dame of Paris.</t>
        </is>
      </c>
      <c r="F168" t="inlineStr">
        <is>
          <t>No</t>
        </is>
      </c>
      <c r="G168" t="inlineStr">
        <is>
          <t>1</t>
        </is>
      </c>
      <c r="H168" t="inlineStr">
        <is>
          <t>No</t>
        </is>
      </c>
      <c r="I168" t="inlineStr">
        <is>
          <t>No</t>
        </is>
      </c>
      <c r="J168" t="inlineStr">
        <is>
          <t>0</t>
        </is>
      </c>
      <c r="K168" t="inlineStr">
        <is>
          <t>Temko, Allan.</t>
        </is>
      </c>
      <c r="L168" t="inlineStr">
        <is>
          <t>New York : Time Inc., [c1962]</t>
        </is>
      </c>
      <c r="M168" t="inlineStr">
        <is>
          <t>1962</t>
        </is>
      </c>
      <c r="N168" t="inlineStr">
        <is>
          <t>Time reading program special ed.</t>
        </is>
      </c>
      <c r="O168" t="inlineStr">
        <is>
          <t>eng</t>
        </is>
      </c>
      <c r="P168" t="inlineStr">
        <is>
          <t>nyu</t>
        </is>
      </c>
      <c r="R168" t="inlineStr">
        <is>
          <t xml:space="preserve">NA </t>
        </is>
      </c>
      <c r="S168" t="n">
        <v>2</v>
      </c>
      <c r="T168" t="n">
        <v>2</v>
      </c>
      <c r="U168" t="inlineStr">
        <is>
          <t>2006-04-20</t>
        </is>
      </c>
      <c r="V168" t="inlineStr">
        <is>
          <t>2006-04-20</t>
        </is>
      </c>
      <c r="W168" t="inlineStr">
        <is>
          <t>1992-04-09</t>
        </is>
      </c>
      <c r="X168" t="inlineStr">
        <is>
          <t>1992-04-09</t>
        </is>
      </c>
      <c r="Y168" t="n">
        <v>492</v>
      </c>
      <c r="Z168" t="n">
        <v>467</v>
      </c>
      <c r="AA168" t="n">
        <v>1545</v>
      </c>
      <c r="AB168" t="n">
        <v>5</v>
      </c>
      <c r="AC168" t="n">
        <v>12</v>
      </c>
      <c r="AD168" t="n">
        <v>11</v>
      </c>
      <c r="AE168" t="n">
        <v>51</v>
      </c>
      <c r="AF168" t="n">
        <v>5</v>
      </c>
      <c r="AG168" t="n">
        <v>23</v>
      </c>
      <c r="AH168" t="n">
        <v>1</v>
      </c>
      <c r="AI168" t="n">
        <v>10</v>
      </c>
      <c r="AJ168" t="n">
        <v>5</v>
      </c>
      <c r="AK168" t="n">
        <v>25</v>
      </c>
      <c r="AL168" t="n">
        <v>2</v>
      </c>
      <c r="AM168" t="n">
        <v>6</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HYPERLINK("https://creighton-primo.hosted.exlibrisgroup.com/primo-explore/search?tab=default_tab&amp;search_scope=EVERYTHING&amp;vid=01CRU&amp;lang=en_US&amp;offset=0&amp;query=any,contains,991002793319702656","Catalog Record")</f>
        <v/>
      </c>
      <c r="AT168">
        <f>HYPERLINK("http://www.worldcat.org/oclc/444303","WorldCat Record")</f>
        <v/>
      </c>
      <c r="AU168" t="inlineStr">
        <is>
          <t>1483737:eng</t>
        </is>
      </c>
      <c r="AV168" t="inlineStr">
        <is>
          <t>444303</t>
        </is>
      </c>
      <c r="AW168" t="inlineStr">
        <is>
          <t>991002793319702656</t>
        </is>
      </c>
      <c r="AX168" t="inlineStr">
        <is>
          <t>991002793319702656</t>
        </is>
      </c>
      <c r="AY168" t="inlineStr">
        <is>
          <t>2265167600002656</t>
        </is>
      </c>
      <c r="AZ168" t="inlineStr">
        <is>
          <t>BOOK</t>
        </is>
      </c>
      <c r="BC168" t="inlineStr">
        <is>
          <t>32285001057123</t>
        </is>
      </c>
      <c r="BD168" t="inlineStr">
        <is>
          <t>893899233</t>
        </is>
      </c>
    </row>
    <row r="169">
      <c r="A169" t="inlineStr">
        <is>
          <t>No</t>
        </is>
      </c>
      <c r="B169" t="inlineStr">
        <is>
          <t>NA5573 .H37 1983</t>
        </is>
      </c>
      <c r="C169" t="inlineStr">
        <is>
          <t>0                      NA 5573000H  37          1983</t>
        </is>
      </c>
      <c r="D169" t="inlineStr">
        <is>
          <t>The Bavarian rococo church : between faith and aestheticism / Karsten Harries.</t>
        </is>
      </c>
      <c r="F169" t="inlineStr">
        <is>
          <t>No</t>
        </is>
      </c>
      <c r="G169" t="inlineStr">
        <is>
          <t>1</t>
        </is>
      </c>
      <c r="H169" t="inlineStr">
        <is>
          <t>No</t>
        </is>
      </c>
      <c r="I169" t="inlineStr">
        <is>
          <t>No</t>
        </is>
      </c>
      <c r="J169" t="inlineStr">
        <is>
          <t>0</t>
        </is>
      </c>
      <c r="K169" t="inlineStr">
        <is>
          <t>Harries, Karsten.</t>
        </is>
      </c>
      <c r="L169" t="inlineStr">
        <is>
          <t>New Haven [Conn.] : Yale University Press, c1983.</t>
        </is>
      </c>
      <c r="M169" t="inlineStr">
        <is>
          <t>1983</t>
        </is>
      </c>
      <c r="O169" t="inlineStr">
        <is>
          <t>eng</t>
        </is>
      </c>
      <c r="P169" t="inlineStr">
        <is>
          <t>ctu</t>
        </is>
      </c>
      <c r="R169" t="inlineStr">
        <is>
          <t xml:space="preserve">NA </t>
        </is>
      </c>
      <c r="S169" t="n">
        <v>3</v>
      </c>
      <c r="T169" t="n">
        <v>3</v>
      </c>
      <c r="U169" t="inlineStr">
        <is>
          <t>2000-08-25</t>
        </is>
      </c>
      <c r="V169" t="inlineStr">
        <is>
          <t>2000-08-25</t>
        </is>
      </c>
      <c r="W169" t="inlineStr">
        <is>
          <t>1992-05-06</t>
        </is>
      </c>
      <c r="X169" t="inlineStr">
        <is>
          <t>1992-05-06</t>
        </is>
      </c>
      <c r="Y169" t="n">
        <v>622</v>
      </c>
      <c r="Z169" t="n">
        <v>481</v>
      </c>
      <c r="AA169" t="n">
        <v>485</v>
      </c>
      <c r="AB169" t="n">
        <v>3</v>
      </c>
      <c r="AC169" t="n">
        <v>3</v>
      </c>
      <c r="AD169" t="n">
        <v>23</v>
      </c>
      <c r="AE169" t="n">
        <v>23</v>
      </c>
      <c r="AF169" t="n">
        <v>10</v>
      </c>
      <c r="AG169" t="n">
        <v>10</v>
      </c>
      <c r="AH169" t="n">
        <v>5</v>
      </c>
      <c r="AI169" t="n">
        <v>5</v>
      </c>
      <c r="AJ169" t="n">
        <v>12</v>
      </c>
      <c r="AK169" t="n">
        <v>12</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HYPERLINK("https://creighton-primo.hosted.exlibrisgroup.com/primo-explore/search?tab=default_tab&amp;search_scope=EVERYTHING&amp;vid=01CRU&amp;lang=en_US&amp;offset=0&amp;query=any,contains,991005397509702656","Catalog Record")</f>
        <v/>
      </c>
      <c r="AT169">
        <f>HYPERLINK("http://www.worldcat.org/oclc/8553086","WorldCat Record")</f>
        <v/>
      </c>
      <c r="AU169" t="inlineStr">
        <is>
          <t>792144385:eng</t>
        </is>
      </c>
      <c r="AV169" t="inlineStr">
        <is>
          <t>8553086</t>
        </is>
      </c>
      <c r="AW169" t="inlineStr">
        <is>
          <t>991005397509702656</t>
        </is>
      </c>
      <c r="AX169" t="inlineStr">
        <is>
          <t>991005397509702656</t>
        </is>
      </c>
      <c r="AY169" t="inlineStr">
        <is>
          <t>2258835710002656</t>
        </is>
      </c>
      <c r="AZ169" t="inlineStr">
        <is>
          <t>BOOK</t>
        </is>
      </c>
      <c r="BB169" t="inlineStr">
        <is>
          <t>9780300027204</t>
        </is>
      </c>
      <c r="BC169" t="inlineStr">
        <is>
          <t>32285001120947</t>
        </is>
      </c>
      <c r="BD169" t="inlineStr">
        <is>
          <t>893811076</t>
        </is>
      </c>
    </row>
    <row r="170">
      <c r="A170" t="inlineStr">
        <is>
          <t>No</t>
        </is>
      </c>
      <c r="B170" t="inlineStr">
        <is>
          <t>NA5620.S9 M3 1939</t>
        </is>
      </c>
      <c r="C170" t="inlineStr">
        <is>
          <t>0                      NA 5620000S  9                  M  3           1939</t>
        </is>
      </c>
      <c r="D170" t="inlineStr">
        <is>
          <t>St. Peter's on the Vatican; the first complete account in our English tongue of its origins and reconstruction / by Augustin McNally ...</t>
        </is>
      </c>
      <c r="F170" t="inlineStr">
        <is>
          <t>No</t>
        </is>
      </c>
      <c r="G170" t="inlineStr">
        <is>
          <t>1</t>
        </is>
      </c>
      <c r="H170" t="inlineStr">
        <is>
          <t>No</t>
        </is>
      </c>
      <c r="I170" t="inlineStr">
        <is>
          <t>No</t>
        </is>
      </c>
      <c r="J170" t="inlineStr">
        <is>
          <t>0</t>
        </is>
      </c>
      <c r="K170" t="inlineStr">
        <is>
          <t>McNally, Augustin, 1876-</t>
        </is>
      </c>
      <c r="L170" t="inlineStr">
        <is>
          <t>New York City : Strand Press, [1939]</t>
        </is>
      </c>
      <c r="M170" t="inlineStr">
        <is>
          <t>1939</t>
        </is>
      </c>
      <c r="O170" t="inlineStr">
        <is>
          <t>eng</t>
        </is>
      </c>
      <c r="P170" t="inlineStr">
        <is>
          <t>___</t>
        </is>
      </c>
      <c r="R170" t="inlineStr">
        <is>
          <t xml:space="preserve">NA </t>
        </is>
      </c>
      <c r="S170" t="n">
        <v>2</v>
      </c>
      <c r="T170" t="n">
        <v>2</v>
      </c>
      <c r="U170" t="inlineStr">
        <is>
          <t>2003-04-12</t>
        </is>
      </c>
      <c r="V170" t="inlineStr">
        <is>
          <t>2003-04-12</t>
        </is>
      </c>
      <c r="W170" t="inlineStr">
        <is>
          <t>1993-05-14</t>
        </is>
      </c>
      <c r="X170" t="inlineStr">
        <is>
          <t>1993-05-14</t>
        </is>
      </c>
      <c r="Y170" t="n">
        <v>167</v>
      </c>
      <c r="Z170" t="n">
        <v>160</v>
      </c>
      <c r="AA170" t="n">
        <v>167</v>
      </c>
      <c r="AB170" t="n">
        <v>3</v>
      </c>
      <c r="AC170" t="n">
        <v>3</v>
      </c>
      <c r="AD170" t="n">
        <v>21</v>
      </c>
      <c r="AE170" t="n">
        <v>21</v>
      </c>
      <c r="AF170" t="n">
        <v>8</v>
      </c>
      <c r="AG170" t="n">
        <v>8</v>
      </c>
      <c r="AH170" t="n">
        <v>4</v>
      </c>
      <c r="AI170" t="n">
        <v>4</v>
      </c>
      <c r="AJ170" t="n">
        <v>14</v>
      </c>
      <c r="AK170" t="n">
        <v>14</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HYPERLINK("https://creighton-primo.hosted.exlibrisgroup.com/primo-explore/search?tab=default_tab&amp;search_scope=EVERYTHING&amp;vid=01CRU&amp;lang=en_US&amp;offset=0&amp;query=any,contains,991002644659702656","Catalog Record")</f>
        <v/>
      </c>
      <c r="AT170">
        <f>HYPERLINK("http://www.worldcat.org/oclc/385444","WorldCat Record")</f>
        <v/>
      </c>
      <c r="AU170" t="inlineStr">
        <is>
          <t>951785774:eng</t>
        </is>
      </c>
      <c r="AV170" t="inlineStr">
        <is>
          <t>385444</t>
        </is>
      </c>
      <c r="AW170" t="inlineStr">
        <is>
          <t>991002644659702656</t>
        </is>
      </c>
      <c r="AX170" t="inlineStr">
        <is>
          <t>991002644659702656</t>
        </is>
      </c>
      <c r="AY170" t="inlineStr">
        <is>
          <t>2258936320002656</t>
        </is>
      </c>
      <c r="AZ170" t="inlineStr">
        <is>
          <t>BOOK</t>
        </is>
      </c>
      <c r="BC170" t="inlineStr">
        <is>
          <t>32285001658078</t>
        </is>
      </c>
      <c r="BD170" t="inlineStr">
        <is>
          <t>893792710</t>
        </is>
      </c>
    </row>
    <row r="171">
      <c r="A171" t="inlineStr">
        <is>
          <t>No</t>
        </is>
      </c>
      <c r="B171" t="inlineStr">
        <is>
          <t>NA5806 .S5 1971</t>
        </is>
      </c>
      <c r="C171" t="inlineStr">
        <is>
          <t>0                      NA 5806000S  5           1971</t>
        </is>
      </c>
      <c r="D171" t="inlineStr">
        <is>
          <t>Spanish baroque art : with buildings in Portugal, Mexico, and other colonies.</t>
        </is>
      </c>
      <c r="F171" t="inlineStr">
        <is>
          <t>No</t>
        </is>
      </c>
      <c r="G171" t="inlineStr">
        <is>
          <t>1</t>
        </is>
      </c>
      <c r="H171" t="inlineStr">
        <is>
          <t>No</t>
        </is>
      </c>
      <c r="I171" t="inlineStr">
        <is>
          <t>No</t>
        </is>
      </c>
      <c r="J171" t="inlineStr">
        <is>
          <t>0</t>
        </is>
      </c>
      <c r="K171" t="inlineStr">
        <is>
          <t>Sitwell, Sacheverell, 1897-1988.</t>
        </is>
      </c>
      <c r="L171" t="inlineStr">
        <is>
          <t>New York : B. Blom, 1971.</t>
        </is>
      </c>
      <c r="M171" t="inlineStr">
        <is>
          <t>1971</t>
        </is>
      </c>
      <c r="O171" t="inlineStr">
        <is>
          <t>eng</t>
        </is>
      </c>
      <c r="P171" t="inlineStr">
        <is>
          <t>nyu</t>
        </is>
      </c>
      <c r="R171" t="inlineStr">
        <is>
          <t xml:space="preserve">NA </t>
        </is>
      </c>
      <c r="S171" t="n">
        <v>5</v>
      </c>
      <c r="T171" t="n">
        <v>5</v>
      </c>
      <c r="U171" t="inlineStr">
        <is>
          <t>2004-09-24</t>
        </is>
      </c>
      <c r="V171" t="inlineStr">
        <is>
          <t>2004-09-24</t>
        </is>
      </c>
      <c r="W171" t="inlineStr">
        <is>
          <t>1992-05-13</t>
        </is>
      </c>
      <c r="X171" t="inlineStr">
        <is>
          <t>1992-05-13</t>
        </is>
      </c>
      <c r="Y171" t="n">
        <v>200</v>
      </c>
      <c r="Z171" t="n">
        <v>180</v>
      </c>
      <c r="AA171" t="n">
        <v>288</v>
      </c>
      <c r="AB171" t="n">
        <v>3</v>
      </c>
      <c r="AC171" t="n">
        <v>4</v>
      </c>
      <c r="AD171" t="n">
        <v>6</v>
      </c>
      <c r="AE171" t="n">
        <v>11</v>
      </c>
      <c r="AF171" t="n">
        <v>2</v>
      </c>
      <c r="AG171" t="n">
        <v>3</v>
      </c>
      <c r="AH171" t="n">
        <v>2</v>
      </c>
      <c r="AI171" t="n">
        <v>2</v>
      </c>
      <c r="AJ171" t="n">
        <v>0</v>
      </c>
      <c r="AK171" t="n">
        <v>4</v>
      </c>
      <c r="AL171" t="n">
        <v>2</v>
      </c>
      <c r="AM171" t="n">
        <v>3</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HYPERLINK("https://creighton-primo.hosted.exlibrisgroup.com/primo-explore/search?tab=default_tab&amp;search_scope=EVERYTHING&amp;vid=01CRU&amp;lang=en_US&amp;offset=0&amp;query=any,contains,991001384889702656","Catalog Record")</f>
        <v/>
      </c>
      <c r="AT171">
        <f>HYPERLINK("http://www.worldcat.org/oclc/226415","WorldCat Record")</f>
        <v/>
      </c>
      <c r="AU171" t="inlineStr">
        <is>
          <t>147732722:eng</t>
        </is>
      </c>
      <c r="AV171" t="inlineStr">
        <is>
          <t>226415</t>
        </is>
      </c>
      <c r="AW171" t="inlineStr">
        <is>
          <t>991001384889702656</t>
        </is>
      </c>
      <c r="AX171" t="inlineStr">
        <is>
          <t>991001384889702656</t>
        </is>
      </c>
      <c r="AY171" t="inlineStr">
        <is>
          <t>2263123890002656</t>
        </is>
      </c>
      <c r="AZ171" t="inlineStr">
        <is>
          <t>BOOK</t>
        </is>
      </c>
      <c r="BC171" t="inlineStr">
        <is>
          <t>32285001108504</t>
        </is>
      </c>
      <c r="BD171" t="inlineStr">
        <is>
          <t>893797533</t>
        </is>
      </c>
    </row>
    <row r="172">
      <c r="A172" t="inlineStr">
        <is>
          <t>No</t>
        </is>
      </c>
      <c r="B172" t="inlineStr">
        <is>
          <t>NA5811.S46 S26 1985</t>
        </is>
      </c>
      <c r="C172" t="inlineStr">
        <is>
          <t>0                      NA 5811000S  46                 S  26          1985</t>
        </is>
      </c>
      <c r="D172" t="inlineStr">
        <is>
          <t>Santiago de Compostela : 1000 ans de pèlerinage européen : [exposition à] Centrum voor Kunst en Cultuur, Abbaye Saint-Pierre, Gand.</t>
        </is>
      </c>
      <c r="F172" t="inlineStr">
        <is>
          <t>No</t>
        </is>
      </c>
      <c r="G172" t="inlineStr">
        <is>
          <t>1</t>
        </is>
      </c>
      <c r="H172" t="inlineStr">
        <is>
          <t>No</t>
        </is>
      </c>
      <c r="I172" t="inlineStr">
        <is>
          <t>No</t>
        </is>
      </c>
      <c r="J172" t="inlineStr">
        <is>
          <t>0</t>
        </is>
      </c>
      <c r="L172" t="inlineStr">
        <is>
          <t>[Brussels?] : Crédit communal, 1985.</t>
        </is>
      </c>
      <c r="M172" t="inlineStr">
        <is>
          <t>1985</t>
        </is>
      </c>
      <c r="O172" t="inlineStr">
        <is>
          <t>fre</t>
        </is>
      </c>
      <c r="P172" t="inlineStr">
        <is>
          <t xml:space="preserve">be </t>
        </is>
      </c>
      <c r="R172" t="inlineStr">
        <is>
          <t xml:space="preserve">NA </t>
        </is>
      </c>
      <c r="S172" t="n">
        <v>4</v>
      </c>
      <c r="T172" t="n">
        <v>4</v>
      </c>
      <c r="U172" t="inlineStr">
        <is>
          <t>1998-06-12</t>
        </is>
      </c>
      <c r="V172" t="inlineStr">
        <is>
          <t>1998-06-12</t>
        </is>
      </c>
      <c r="W172" t="inlineStr">
        <is>
          <t>1992-07-14</t>
        </is>
      </c>
      <c r="X172" t="inlineStr">
        <is>
          <t>1992-07-14</t>
        </is>
      </c>
      <c r="Y172" t="n">
        <v>27</v>
      </c>
      <c r="Z172" t="n">
        <v>21</v>
      </c>
      <c r="AA172" t="n">
        <v>52</v>
      </c>
      <c r="AB172" t="n">
        <v>2</v>
      </c>
      <c r="AC172" t="n">
        <v>2</v>
      </c>
      <c r="AD172" t="n">
        <v>3</v>
      </c>
      <c r="AE172" t="n">
        <v>5</v>
      </c>
      <c r="AF172" t="n">
        <v>0</v>
      </c>
      <c r="AG172" t="n">
        <v>0</v>
      </c>
      <c r="AH172" t="n">
        <v>1</v>
      </c>
      <c r="AI172" t="n">
        <v>2</v>
      </c>
      <c r="AJ172" t="n">
        <v>1</v>
      </c>
      <c r="AK172" t="n">
        <v>3</v>
      </c>
      <c r="AL172" t="n">
        <v>1</v>
      </c>
      <c r="AM172" t="n">
        <v>1</v>
      </c>
      <c r="AN172" t="n">
        <v>0</v>
      </c>
      <c r="AO172" t="n">
        <v>0</v>
      </c>
      <c r="AP172" t="inlineStr">
        <is>
          <t>No</t>
        </is>
      </c>
      <c r="AQ172" t="inlineStr">
        <is>
          <t>Yes</t>
        </is>
      </c>
      <c r="AR172">
        <f>HYPERLINK("http://catalog.hathitrust.org/Record/007502765","HathiTrust Record")</f>
        <v/>
      </c>
      <c r="AS172">
        <f>HYPERLINK("https://creighton-primo.hosted.exlibrisgroup.com/primo-explore/search?tab=default_tab&amp;search_scope=EVERYTHING&amp;vid=01CRU&amp;lang=en_US&amp;offset=0&amp;query=any,contains,991000994399702656","Catalog Record")</f>
        <v/>
      </c>
      <c r="AT172">
        <f>HYPERLINK("http://www.worldcat.org/oclc/15128795","WorldCat Record")</f>
        <v/>
      </c>
      <c r="AU172" t="inlineStr">
        <is>
          <t>863766226:fre</t>
        </is>
      </c>
      <c r="AV172" t="inlineStr">
        <is>
          <t>15128795</t>
        </is>
      </c>
      <c r="AW172" t="inlineStr">
        <is>
          <t>991000994399702656</t>
        </is>
      </c>
      <c r="AX172" t="inlineStr">
        <is>
          <t>991000994399702656</t>
        </is>
      </c>
      <c r="AY172" t="inlineStr">
        <is>
          <t>2265331380002656</t>
        </is>
      </c>
      <c r="AZ172" t="inlineStr">
        <is>
          <t>BOOK</t>
        </is>
      </c>
      <c r="BC172" t="inlineStr">
        <is>
          <t>32285001152429</t>
        </is>
      </c>
      <c r="BD172" t="inlineStr">
        <is>
          <t>893897406</t>
        </is>
      </c>
    </row>
    <row r="173">
      <c r="A173" t="inlineStr">
        <is>
          <t>No</t>
        </is>
      </c>
      <c r="B173" t="inlineStr">
        <is>
          <t>NA590 .M5</t>
        </is>
      </c>
      <c r="C173" t="inlineStr">
        <is>
          <t>0                      NA 0590000M  5</t>
        </is>
      </c>
      <c r="D173" t="inlineStr">
        <is>
          <t>Baroque &amp; rococo architecture.</t>
        </is>
      </c>
      <c r="F173" t="inlineStr">
        <is>
          <t>No</t>
        </is>
      </c>
      <c r="G173" t="inlineStr">
        <is>
          <t>1</t>
        </is>
      </c>
      <c r="H173" t="inlineStr">
        <is>
          <t>No</t>
        </is>
      </c>
      <c r="I173" t="inlineStr">
        <is>
          <t>No</t>
        </is>
      </c>
      <c r="J173" t="inlineStr">
        <is>
          <t>0</t>
        </is>
      </c>
      <c r="K173" t="inlineStr">
        <is>
          <t>Millon, Henry A.</t>
        </is>
      </c>
      <c r="L173" t="inlineStr">
        <is>
          <t>New York, G. Braziller, 1965.</t>
        </is>
      </c>
      <c r="M173" t="inlineStr">
        <is>
          <t>1965</t>
        </is>
      </c>
      <c r="O173" t="inlineStr">
        <is>
          <t>eng</t>
        </is>
      </c>
      <c r="P173" t="inlineStr">
        <is>
          <t>nyu</t>
        </is>
      </c>
      <c r="Q173" t="inlineStr">
        <is>
          <t>The Great ages of world architecture</t>
        </is>
      </c>
      <c r="R173" t="inlineStr">
        <is>
          <t xml:space="preserve">NA </t>
        </is>
      </c>
      <c r="S173" t="n">
        <v>2</v>
      </c>
      <c r="T173" t="n">
        <v>2</v>
      </c>
      <c r="U173" t="inlineStr">
        <is>
          <t>1997-11-04</t>
        </is>
      </c>
      <c r="V173" t="inlineStr">
        <is>
          <t>1997-11-04</t>
        </is>
      </c>
      <c r="W173" t="inlineStr">
        <is>
          <t>1997-07-01</t>
        </is>
      </c>
      <c r="X173" t="inlineStr">
        <is>
          <t>1997-07-01</t>
        </is>
      </c>
      <c r="Y173" t="n">
        <v>36</v>
      </c>
      <c r="Z173" t="n">
        <v>29</v>
      </c>
      <c r="AA173" t="n">
        <v>1337</v>
      </c>
      <c r="AB173" t="n">
        <v>2</v>
      </c>
      <c r="AC173" t="n">
        <v>12</v>
      </c>
      <c r="AD173" t="n">
        <v>2</v>
      </c>
      <c r="AE173" t="n">
        <v>46</v>
      </c>
      <c r="AF173" t="n">
        <v>1</v>
      </c>
      <c r="AG173" t="n">
        <v>17</v>
      </c>
      <c r="AH173" t="n">
        <v>0</v>
      </c>
      <c r="AI173" t="n">
        <v>6</v>
      </c>
      <c r="AJ173" t="n">
        <v>0</v>
      </c>
      <c r="AK173" t="n">
        <v>21</v>
      </c>
      <c r="AL173" t="n">
        <v>1</v>
      </c>
      <c r="AM173" t="n">
        <v>10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HYPERLINK("https://creighton-primo.hosted.exlibrisgroup.com/primo-explore/search?tab=default_tab&amp;search_scope=EVERYTHING&amp;vid=01CRU&amp;lang=en_US&amp;offset=0&amp;query=any,contains,991000625239702656","Catalog Record")</f>
        <v/>
      </c>
      <c r="AT173">
        <f>HYPERLINK("http://www.worldcat.org/oclc/12012348","WorldCat Record")</f>
        <v/>
      </c>
      <c r="AU173" t="inlineStr">
        <is>
          <t>464400:eng</t>
        </is>
      </c>
      <c r="AV173" t="inlineStr">
        <is>
          <t>12012348</t>
        </is>
      </c>
      <c r="AW173" t="inlineStr">
        <is>
          <t>991000625239702656</t>
        </is>
      </c>
      <c r="AX173" t="inlineStr">
        <is>
          <t>991000625239702656</t>
        </is>
      </c>
      <c r="AY173" t="inlineStr">
        <is>
          <t>2271685540002656</t>
        </is>
      </c>
      <c r="AZ173" t="inlineStr">
        <is>
          <t>BOOK</t>
        </is>
      </c>
      <c r="BC173" t="inlineStr">
        <is>
          <t>32285002861226</t>
        </is>
      </c>
      <c r="BD173" t="inlineStr">
        <is>
          <t>893796836</t>
        </is>
      </c>
    </row>
    <row r="174">
      <c r="A174" t="inlineStr">
        <is>
          <t>No</t>
        </is>
      </c>
      <c r="B174" t="inlineStr">
        <is>
          <t>NA590 .N6</t>
        </is>
      </c>
      <c r="C174" t="inlineStr">
        <is>
          <t>0                      NA 0590000N  6</t>
        </is>
      </c>
      <c r="D174" t="inlineStr">
        <is>
          <t>Baroque architecture.</t>
        </is>
      </c>
      <c r="F174" t="inlineStr">
        <is>
          <t>No</t>
        </is>
      </c>
      <c r="G174" t="inlineStr">
        <is>
          <t>1</t>
        </is>
      </c>
      <c r="H174" t="inlineStr">
        <is>
          <t>No</t>
        </is>
      </c>
      <c r="I174" t="inlineStr">
        <is>
          <t>No</t>
        </is>
      </c>
      <c r="J174" t="inlineStr">
        <is>
          <t>0</t>
        </is>
      </c>
      <c r="K174" t="inlineStr">
        <is>
          <t>Norberg-Schulz, Christian.</t>
        </is>
      </c>
      <c r="L174" t="inlineStr">
        <is>
          <t>New York, H. N. Abrams [1972, c1971]</t>
        </is>
      </c>
      <c r="M174" t="inlineStr">
        <is>
          <t>1972</t>
        </is>
      </c>
      <c r="O174" t="inlineStr">
        <is>
          <t>eng</t>
        </is>
      </c>
      <c r="P174" t="inlineStr">
        <is>
          <t>nyu</t>
        </is>
      </c>
      <c r="Q174" t="inlineStr">
        <is>
          <t>History of world architecture</t>
        </is>
      </c>
      <c r="R174" t="inlineStr">
        <is>
          <t xml:space="preserve">NA </t>
        </is>
      </c>
      <c r="S174" t="n">
        <v>9</v>
      </c>
      <c r="T174" t="n">
        <v>9</v>
      </c>
      <c r="U174" t="inlineStr">
        <is>
          <t>2006-05-01</t>
        </is>
      </c>
      <c r="V174" t="inlineStr">
        <is>
          <t>2006-05-01</t>
        </is>
      </c>
      <c r="W174" t="inlineStr">
        <is>
          <t>1992-10-02</t>
        </is>
      </c>
      <c r="X174" t="inlineStr">
        <is>
          <t>1992-10-02</t>
        </is>
      </c>
      <c r="Y174" t="n">
        <v>809</v>
      </c>
      <c r="Z174" t="n">
        <v>709</v>
      </c>
      <c r="AA174" t="n">
        <v>1088</v>
      </c>
      <c r="AB174" t="n">
        <v>8</v>
      </c>
      <c r="AC174" t="n">
        <v>9</v>
      </c>
      <c r="AD174" t="n">
        <v>28</v>
      </c>
      <c r="AE174" t="n">
        <v>38</v>
      </c>
      <c r="AF174" t="n">
        <v>10</v>
      </c>
      <c r="AG174" t="n">
        <v>14</v>
      </c>
      <c r="AH174" t="n">
        <v>9</v>
      </c>
      <c r="AI174" t="n">
        <v>10</v>
      </c>
      <c r="AJ174" t="n">
        <v>13</v>
      </c>
      <c r="AK174" t="n">
        <v>17</v>
      </c>
      <c r="AL174" t="n">
        <v>5</v>
      </c>
      <c r="AM174" t="n">
        <v>6</v>
      </c>
      <c r="AN174" t="n">
        <v>0</v>
      </c>
      <c r="AO174" t="n">
        <v>0</v>
      </c>
      <c r="AP174" t="inlineStr">
        <is>
          <t>No</t>
        </is>
      </c>
      <c r="AQ174" t="inlineStr">
        <is>
          <t>Yes</t>
        </is>
      </c>
      <c r="AR174">
        <f>HYPERLINK("http://catalog.hathitrust.org/Record/000411101","HathiTrust Record")</f>
        <v/>
      </c>
      <c r="AS174">
        <f>HYPERLINK("https://creighton-primo.hosted.exlibrisgroup.com/primo-explore/search?tab=default_tab&amp;search_scope=EVERYTHING&amp;vid=01CRU&amp;lang=en_US&amp;offset=0&amp;query=any,contains,991002712779702656","Catalog Record")</f>
        <v/>
      </c>
      <c r="AT174">
        <f>HYPERLINK("http://www.worldcat.org/oclc/410360","WorldCat Record")</f>
        <v/>
      </c>
      <c r="AU174" t="inlineStr">
        <is>
          <t>1881851912:eng</t>
        </is>
      </c>
      <c r="AV174" t="inlineStr">
        <is>
          <t>410360</t>
        </is>
      </c>
      <c r="AW174" t="inlineStr">
        <is>
          <t>991002712779702656</t>
        </is>
      </c>
      <c r="AX174" t="inlineStr">
        <is>
          <t>991002712779702656</t>
        </is>
      </c>
      <c r="AY174" t="inlineStr">
        <is>
          <t>2265620990002656</t>
        </is>
      </c>
      <c r="AZ174" t="inlineStr">
        <is>
          <t>BOOK</t>
        </is>
      </c>
      <c r="BB174" t="inlineStr">
        <is>
          <t>9780810910027</t>
        </is>
      </c>
      <c r="BC174" t="inlineStr">
        <is>
          <t>32285001338119</t>
        </is>
      </c>
      <c r="BD174" t="inlineStr">
        <is>
          <t>893716826</t>
        </is>
      </c>
    </row>
    <row r="175">
      <c r="A175" t="inlineStr">
        <is>
          <t>No</t>
        </is>
      </c>
      <c r="B175" t="inlineStr">
        <is>
          <t>NA5977 .H66 1994</t>
        </is>
      </c>
      <c r="C175" t="inlineStr">
        <is>
          <t>0                      NA 5977000H  66          1994</t>
        </is>
      </c>
      <c r="D175" t="inlineStr">
        <is>
          <t>The synagogues and churches of ancient Palestine / Leslie J. Hoppe.</t>
        </is>
      </c>
      <c r="F175" t="inlineStr">
        <is>
          <t>No</t>
        </is>
      </c>
      <c r="G175" t="inlineStr">
        <is>
          <t>1</t>
        </is>
      </c>
      <c r="H175" t="inlineStr">
        <is>
          <t>No</t>
        </is>
      </c>
      <c r="I175" t="inlineStr">
        <is>
          <t>No</t>
        </is>
      </c>
      <c r="J175" t="inlineStr">
        <is>
          <t>0</t>
        </is>
      </c>
      <c r="K175" t="inlineStr">
        <is>
          <t>Hoppe, Leslie J.</t>
        </is>
      </c>
      <c r="L175" t="inlineStr">
        <is>
          <t>Collegeville, Minn. : Liturgical Press, c1994.</t>
        </is>
      </c>
      <c r="M175" t="inlineStr">
        <is>
          <t>1994</t>
        </is>
      </c>
      <c r="O175" t="inlineStr">
        <is>
          <t>eng</t>
        </is>
      </c>
      <c r="P175" t="inlineStr">
        <is>
          <t>mnu</t>
        </is>
      </c>
      <c r="R175" t="inlineStr">
        <is>
          <t xml:space="preserve">NA </t>
        </is>
      </c>
      <c r="S175" t="n">
        <v>8</v>
      </c>
      <c r="T175" t="n">
        <v>8</v>
      </c>
      <c r="U175" t="inlineStr">
        <is>
          <t>2006-10-19</t>
        </is>
      </c>
      <c r="V175" t="inlineStr">
        <is>
          <t>2006-10-19</t>
        </is>
      </c>
      <c r="W175" t="inlineStr">
        <is>
          <t>1995-04-30</t>
        </is>
      </c>
      <c r="X175" t="inlineStr">
        <is>
          <t>1995-04-30</t>
        </is>
      </c>
      <c r="Y175" t="n">
        <v>331</v>
      </c>
      <c r="Z175" t="n">
        <v>265</v>
      </c>
      <c r="AA175" t="n">
        <v>266</v>
      </c>
      <c r="AB175" t="n">
        <v>4</v>
      </c>
      <c r="AC175" t="n">
        <v>4</v>
      </c>
      <c r="AD175" t="n">
        <v>18</v>
      </c>
      <c r="AE175" t="n">
        <v>18</v>
      </c>
      <c r="AF175" t="n">
        <v>6</v>
      </c>
      <c r="AG175" t="n">
        <v>6</v>
      </c>
      <c r="AH175" t="n">
        <v>3</v>
      </c>
      <c r="AI175" t="n">
        <v>3</v>
      </c>
      <c r="AJ175" t="n">
        <v>10</v>
      </c>
      <c r="AK175" t="n">
        <v>10</v>
      </c>
      <c r="AL175" t="n">
        <v>3</v>
      </c>
      <c r="AM175" t="n">
        <v>3</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HYPERLINK("https://creighton-primo.hosted.exlibrisgroup.com/primo-explore/search?tab=default_tab&amp;search_scope=EVERYTHING&amp;vid=01CRU&amp;lang=en_US&amp;offset=0&amp;query=any,contains,991005417419702656","Catalog Record")</f>
        <v/>
      </c>
      <c r="AT175">
        <f>HYPERLINK("http://www.worldcat.org/oclc/28587295","WorldCat Record")</f>
        <v/>
      </c>
      <c r="AU175" t="inlineStr">
        <is>
          <t>30872672:eng</t>
        </is>
      </c>
      <c r="AV175" t="inlineStr">
        <is>
          <t>28587295</t>
        </is>
      </c>
      <c r="AW175" t="inlineStr">
        <is>
          <t>991005417419702656</t>
        </is>
      </c>
      <c r="AX175" t="inlineStr">
        <is>
          <t>991005417419702656</t>
        </is>
      </c>
      <c r="AY175" t="inlineStr">
        <is>
          <t>2263094770002656</t>
        </is>
      </c>
      <c r="AZ175" t="inlineStr">
        <is>
          <t>BOOK</t>
        </is>
      </c>
      <c r="BB175" t="inlineStr">
        <is>
          <t>9780814657546</t>
        </is>
      </c>
      <c r="BC175" t="inlineStr">
        <is>
          <t>32285002036589</t>
        </is>
      </c>
      <c r="BD175" t="inlineStr">
        <is>
          <t>893242714</t>
        </is>
      </c>
    </row>
    <row r="176">
      <c r="A176" t="inlineStr">
        <is>
          <t>No</t>
        </is>
      </c>
      <c r="B176" t="inlineStr">
        <is>
          <t>NA6002 .S75 1998</t>
        </is>
      </c>
      <c r="C176" t="inlineStr">
        <is>
          <t>0                      NA 6002000S  75          1998</t>
        </is>
      </c>
      <c r="D176" t="inlineStr">
        <is>
          <t>Hindu India : from Khajuraho to the temple city of Madurai / Henri Stierlin ; photos, Anne and Henri Stierlin.</t>
        </is>
      </c>
      <c r="F176" t="inlineStr">
        <is>
          <t>No</t>
        </is>
      </c>
      <c r="G176" t="inlineStr">
        <is>
          <t>1</t>
        </is>
      </c>
      <c r="H176" t="inlineStr">
        <is>
          <t>No</t>
        </is>
      </c>
      <c r="I176" t="inlineStr">
        <is>
          <t>No</t>
        </is>
      </c>
      <c r="J176" t="inlineStr">
        <is>
          <t>0</t>
        </is>
      </c>
      <c r="K176" t="inlineStr">
        <is>
          <t>Stierlin, Henri.</t>
        </is>
      </c>
      <c r="L176" t="inlineStr">
        <is>
          <t>Köln ; New York : Taschen, c1998.</t>
        </is>
      </c>
      <c r="M176" t="inlineStr">
        <is>
          <t>1998</t>
        </is>
      </c>
      <c r="O176" t="inlineStr">
        <is>
          <t>eng</t>
        </is>
      </c>
      <c r="P176" t="inlineStr">
        <is>
          <t xml:space="preserve">gw </t>
        </is>
      </c>
      <c r="Q176" t="inlineStr">
        <is>
          <t>Taschen's world architecture</t>
        </is>
      </c>
      <c r="R176" t="inlineStr">
        <is>
          <t xml:space="preserve">NA </t>
        </is>
      </c>
      <c r="S176" t="n">
        <v>13</v>
      </c>
      <c r="T176" t="n">
        <v>13</v>
      </c>
      <c r="U176" t="inlineStr">
        <is>
          <t>2005-09-12</t>
        </is>
      </c>
      <c r="V176" t="inlineStr">
        <is>
          <t>2005-09-12</t>
        </is>
      </c>
      <c r="W176" t="inlineStr">
        <is>
          <t>2000-03-09</t>
        </is>
      </c>
      <c r="X176" t="inlineStr">
        <is>
          <t>2000-03-09</t>
        </is>
      </c>
      <c r="Y176" t="n">
        <v>460</v>
      </c>
      <c r="Z176" t="n">
        <v>357</v>
      </c>
      <c r="AA176" t="n">
        <v>381</v>
      </c>
      <c r="AB176" t="n">
        <v>3</v>
      </c>
      <c r="AC176" t="n">
        <v>3</v>
      </c>
      <c r="AD176" t="n">
        <v>13</v>
      </c>
      <c r="AE176" t="n">
        <v>13</v>
      </c>
      <c r="AF176" t="n">
        <v>8</v>
      </c>
      <c r="AG176" t="n">
        <v>8</v>
      </c>
      <c r="AH176" t="n">
        <v>2</v>
      </c>
      <c r="AI176" t="n">
        <v>2</v>
      </c>
      <c r="AJ176" t="n">
        <v>5</v>
      </c>
      <c r="AK176" t="n">
        <v>5</v>
      </c>
      <c r="AL176" t="n">
        <v>2</v>
      </c>
      <c r="AM176" t="n">
        <v>2</v>
      </c>
      <c r="AN176" t="n">
        <v>0</v>
      </c>
      <c r="AO176" t="n">
        <v>0</v>
      </c>
      <c r="AP176" t="inlineStr">
        <is>
          <t>No</t>
        </is>
      </c>
      <c r="AQ176" t="inlineStr">
        <is>
          <t>Yes</t>
        </is>
      </c>
      <c r="AR176">
        <f>HYPERLINK("http://catalog.hathitrust.org/Record/004018744","HathiTrust Record")</f>
        <v/>
      </c>
      <c r="AS176">
        <f>HYPERLINK("https://creighton-primo.hosted.exlibrisgroup.com/primo-explore/search?tab=default_tab&amp;search_scope=EVERYTHING&amp;vid=01CRU&amp;lang=en_US&amp;offset=0&amp;query=any,contains,991002999119702656","Catalog Record")</f>
        <v/>
      </c>
      <c r="AT176">
        <f>HYPERLINK("http://www.worldcat.org/oclc/40597961","WorldCat Record")</f>
        <v/>
      </c>
      <c r="AU176" t="inlineStr">
        <is>
          <t>13205356:eng</t>
        </is>
      </c>
      <c r="AV176" t="inlineStr">
        <is>
          <t>40597961</t>
        </is>
      </c>
      <c r="AW176" t="inlineStr">
        <is>
          <t>991002999119702656</t>
        </is>
      </c>
      <c r="AX176" t="inlineStr">
        <is>
          <t>991002999119702656</t>
        </is>
      </c>
      <c r="AY176" t="inlineStr">
        <is>
          <t>2261331140002656</t>
        </is>
      </c>
      <c r="AZ176" t="inlineStr">
        <is>
          <t>BOOK</t>
        </is>
      </c>
      <c r="BB176" t="inlineStr">
        <is>
          <t>9783822876497</t>
        </is>
      </c>
      <c r="BC176" t="inlineStr">
        <is>
          <t>32285003668166</t>
        </is>
      </c>
      <c r="BD176" t="inlineStr">
        <is>
          <t>893692274</t>
        </is>
      </c>
    </row>
    <row r="177">
      <c r="A177" t="inlineStr">
        <is>
          <t>No</t>
        </is>
      </c>
      <c r="B177" t="inlineStr">
        <is>
          <t>NA6008.L4 G6 1969</t>
        </is>
      </c>
      <c r="C177" t="inlineStr">
        <is>
          <t>0                      NA 6008000L  4                  G  6           1969</t>
        </is>
      </c>
      <c r="D177" t="inlineStr">
        <is>
          <t>Lepakshi. Text by Amancharla Gopala Rao.</t>
        </is>
      </c>
      <c r="F177" t="inlineStr">
        <is>
          <t>No</t>
        </is>
      </c>
      <c r="G177" t="inlineStr">
        <is>
          <t>1</t>
        </is>
      </c>
      <c r="H177" t="inlineStr">
        <is>
          <t>No</t>
        </is>
      </c>
      <c r="I177" t="inlineStr">
        <is>
          <t>No</t>
        </is>
      </c>
      <c r="J177" t="inlineStr">
        <is>
          <t>0</t>
        </is>
      </c>
      <c r="K177" t="inlineStr">
        <is>
          <t>Gopala Rao, Amancharla, 1907-1969.</t>
        </is>
      </c>
      <c r="L177" t="inlineStr">
        <is>
          <t>[Hyderabad, Andhra Pradesh Lalit Kala Akademi, 1969]</t>
        </is>
      </c>
      <c r="M177" t="inlineStr">
        <is>
          <t>1969</t>
        </is>
      </c>
      <c r="O177" t="inlineStr">
        <is>
          <t>eng</t>
        </is>
      </c>
      <c r="P177" t="inlineStr">
        <is>
          <t xml:space="preserve">ii </t>
        </is>
      </c>
      <c r="R177" t="inlineStr">
        <is>
          <t xml:space="preserve">NA </t>
        </is>
      </c>
      <c r="S177" t="n">
        <v>1</v>
      </c>
      <c r="T177" t="n">
        <v>1</v>
      </c>
      <c r="U177" t="inlineStr">
        <is>
          <t>2001-09-24</t>
        </is>
      </c>
      <c r="V177" t="inlineStr">
        <is>
          <t>2001-09-24</t>
        </is>
      </c>
      <c r="W177" t="inlineStr">
        <is>
          <t>1997-07-01</t>
        </is>
      </c>
      <c r="X177" t="inlineStr">
        <is>
          <t>1997-07-01</t>
        </is>
      </c>
      <c r="Y177" t="n">
        <v>284</v>
      </c>
      <c r="Z177" t="n">
        <v>264</v>
      </c>
      <c r="AA177" t="n">
        <v>266</v>
      </c>
      <c r="AB177" t="n">
        <v>3</v>
      </c>
      <c r="AC177" t="n">
        <v>3</v>
      </c>
      <c r="AD177" t="n">
        <v>12</v>
      </c>
      <c r="AE177" t="n">
        <v>12</v>
      </c>
      <c r="AF177" t="n">
        <v>0</v>
      </c>
      <c r="AG177" t="n">
        <v>0</v>
      </c>
      <c r="AH177" t="n">
        <v>3</v>
      </c>
      <c r="AI177" t="n">
        <v>3</v>
      </c>
      <c r="AJ177" t="n">
        <v>8</v>
      </c>
      <c r="AK177" t="n">
        <v>8</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HYPERLINK("https://creighton-primo.hosted.exlibrisgroup.com/primo-explore/search?tab=default_tab&amp;search_scope=EVERYTHING&amp;vid=01CRU&amp;lang=en_US&amp;offset=0&amp;query=any,contains,991000796929702656","Catalog Record")</f>
        <v/>
      </c>
      <c r="AT177">
        <f>HYPERLINK("http://www.worldcat.org/oclc/137475","WorldCat Record")</f>
        <v/>
      </c>
      <c r="AU177" t="inlineStr">
        <is>
          <t>149190365:eng</t>
        </is>
      </c>
      <c r="AV177" t="inlineStr">
        <is>
          <t>137475</t>
        </is>
      </c>
      <c r="AW177" t="inlineStr">
        <is>
          <t>991000796929702656</t>
        </is>
      </c>
      <c r="AX177" t="inlineStr">
        <is>
          <t>991000796929702656</t>
        </is>
      </c>
      <c r="AY177" t="inlineStr">
        <is>
          <t>2262267810002656</t>
        </is>
      </c>
      <c r="AZ177" t="inlineStr">
        <is>
          <t>BOOK</t>
        </is>
      </c>
      <c r="BC177" t="inlineStr">
        <is>
          <t>32285002862919</t>
        </is>
      </c>
      <c r="BD177" t="inlineStr">
        <is>
          <t>893696180</t>
        </is>
      </c>
    </row>
    <row r="178">
      <c r="A178" t="inlineStr">
        <is>
          <t>No</t>
        </is>
      </c>
      <c r="B178" t="inlineStr">
        <is>
          <t>NA603 .I47 2003</t>
        </is>
      </c>
      <c r="C178" t="inlineStr">
        <is>
          <t>0                      NA 0603000I  47          2003</t>
        </is>
      </c>
      <c r="D178" t="inlineStr">
        <is>
          <t>Imhotep today : Egyptianizing architecture / edited by Jean-Marcel Humbert and Clifford Price.</t>
        </is>
      </c>
      <c r="F178" t="inlineStr">
        <is>
          <t>No</t>
        </is>
      </c>
      <c r="G178" t="inlineStr">
        <is>
          <t>1</t>
        </is>
      </c>
      <c r="H178" t="inlineStr">
        <is>
          <t>No</t>
        </is>
      </c>
      <c r="I178" t="inlineStr">
        <is>
          <t>No</t>
        </is>
      </c>
      <c r="J178" t="inlineStr">
        <is>
          <t>0</t>
        </is>
      </c>
      <c r="L178" t="inlineStr">
        <is>
          <t>London, U.K. : UCL Press, Institute of Archaeology ; Portland, Or. : Published in the United States by Cavendish Pub., 2003.</t>
        </is>
      </c>
      <c r="M178" t="inlineStr">
        <is>
          <t>2003</t>
        </is>
      </c>
      <c r="O178" t="inlineStr">
        <is>
          <t>eng</t>
        </is>
      </c>
      <c r="P178" t="inlineStr">
        <is>
          <t>enk</t>
        </is>
      </c>
      <c r="Q178" t="inlineStr">
        <is>
          <t>Encounters with ancient Egypt</t>
        </is>
      </c>
      <c r="R178" t="inlineStr">
        <is>
          <t xml:space="preserve">NA </t>
        </is>
      </c>
      <c r="S178" t="n">
        <v>1</v>
      </c>
      <c r="T178" t="n">
        <v>1</v>
      </c>
      <c r="U178" t="inlineStr">
        <is>
          <t>2005-09-13</t>
        </is>
      </c>
      <c r="V178" t="inlineStr">
        <is>
          <t>2005-09-13</t>
        </is>
      </c>
      <c r="W178" t="inlineStr">
        <is>
          <t>2005-09-13</t>
        </is>
      </c>
      <c r="X178" t="inlineStr">
        <is>
          <t>2005-09-13</t>
        </is>
      </c>
      <c r="Y178" t="n">
        <v>302</v>
      </c>
      <c r="Z178" t="n">
        <v>228</v>
      </c>
      <c r="AA178" t="n">
        <v>257</v>
      </c>
      <c r="AB178" t="n">
        <v>2</v>
      </c>
      <c r="AC178" t="n">
        <v>2</v>
      </c>
      <c r="AD178" t="n">
        <v>9</v>
      </c>
      <c r="AE178" t="n">
        <v>9</v>
      </c>
      <c r="AF178" t="n">
        <v>4</v>
      </c>
      <c r="AG178" t="n">
        <v>4</v>
      </c>
      <c r="AH178" t="n">
        <v>3</v>
      </c>
      <c r="AI178" t="n">
        <v>3</v>
      </c>
      <c r="AJ178" t="n">
        <v>6</v>
      </c>
      <c r="AK178" t="n">
        <v>6</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HYPERLINK("https://creighton-primo.hosted.exlibrisgroup.com/primo-explore/search?tab=default_tab&amp;search_scope=EVERYTHING&amp;vid=01CRU&amp;lang=en_US&amp;offset=0&amp;query=any,contains,991004543819702656","Catalog Record")</f>
        <v/>
      </c>
      <c r="AT178">
        <f>HYPERLINK("http://www.worldcat.org/oclc/52231787","WorldCat Record")</f>
        <v/>
      </c>
      <c r="AU178" t="inlineStr">
        <is>
          <t>896056785:eng</t>
        </is>
      </c>
      <c r="AV178" t="inlineStr">
        <is>
          <t>52231787</t>
        </is>
      </c>
      <c r="AW178" t="inlineStr">
        <is>
          <t>991004543819702656</t>
        </is>
      </c>
      <c r="AX178" t="inlineStr">
        <is>
          <t>991004543819702656</t>
        </is>
      </c>
      <c r="AY178" t="inlineStr">
        <is>
          <t>2267983740002656</t>
        </is>
      </c>
      <c r="AZ178" t="inlineStr">
        <is>
          <t>BOOK</t>
        </is>
      </c>
      <c r="BB178" t="inlineStr">
        <is>
          <t>9781844720064</t>
        </is>
      </c>
      <c r="BC178" t="inlineStr">
        <is>
          <t>32285005083869</t>
        </is>
      </c>
      <c r="BD178" t="inlineStr">
        <is>
          <t>893532524</t>
        </is>
      </c>
    </row>
    <row r="179">
      <c r="A179" t="inlineStr">
        <is>
          <t>No</t>
        </is>
      </c>
      <c r="B179" t="inlineStr">
        <is>
          <t>NA6057.M8 K53 1958</t>
        </is>
      </c>
      <c r="C179" t="inlineStr">
        <is>
          <t>0                      NA 6057000M  8                  K  53          1958</t>
        </is>
      </c>
      <c r="D179" t="inlineStr">
        <is>
          <t>The Muro-ji : an eighth century Japanese temple, its art and history / photographs by Ken Domon ; English text by Roy Andrew Miller after the Japanese original of Momoo Kitagawa.</t>
        </is>
      </c>
      <c r="F179" t="inlineStr">
        <is>
          <t>No</t>
        </is>
      </c>
      <c r="G179" t="inlineStr">
        <is>
          <t>1</t>
        </is>
      </c>
      <c r="H179" t="inlineStr">
        <is>
          <t>No</t>
        </is>
      </c>
      <c r="I179" t="inlineStr">
        <is>
          <t>No</t>
        </is>
      </c>
      <c r="J179" t="inlineStr">
        <is>
          <t>0</t>
        </is>
      </c>
      <c r="K179" t="inlineStr">
        <is>
          <t>Kitagawa, Momoo, 1899-1969.</t>
        </is>
      </c>
      <c r="L179" t="inlineStr">
        <is>
          <t>Tokyo : Bijutsu Shuppan-sha, [1958?]</t>
        </is>
      </c>
      <c r="M179" t="inlineStr">
        <is>
          <t>1958</t>
        </is>
      </c>
      <c r="O179" t="inlineStr">
        <is>
          <t>eng</t>
        </is>
      </c>
      <c r="P179" t="inlineStr">
        <is>
          <t xml:space="preserve">ja </t>
        </is>
      </c>
      <c r="R179" t="inlineStr">
        <is>
          <t xml:space="preserve">NA </t>
        </is>
      </c>
      <c r="S179" t="n">
        <v>1</v>
      </c>
      <c r="T179" t="n">
        <v>1</v>
      </c>
      <c r="U179" t="inlineStr">
        <is>
          <t>2007-02-05</t>
        </is>
      </c>
      <c r="V179" t="inlineStr">
        <is>
          <t>2007-02-05</t>
        </is>
      </c>
      <c r="W179" t="inlineStr">
        <is>
          <t>2007-02-05</t>
        </is>
      </c>
      <c r="X179" t="inlineStr">
        <is>
          <t>2007-02-05</t>
        </is>
      </c>
      <c r="Y179" t="n">
        <v>100</v>
      </c>
      <c r="Z179" t="n">
        <v>90</v>
      </c>
      <c r="AA179" t="n">
        <v>146</v>
      </c>
      <c r="AB179" t="n">
        <v>2</v>
      </c>
      <c r="AC179" t="n">
        <v>3</v>
      </c>
      <c r="AD179" t="n">
        <v>1</v>
      </c>
      <c r="AE179" t="n">
        <v>3</v>
      </c>
      <c r="AF179" t="n">
        <v>0</v>
      </c>
      <c r="AG179" t="n">
        <v>0</v>
      </c>
      <c r="AH179" t="n">
        <v>0</v>
      </c>
      <c r="AI179" t="n">
        <v>1</v>
      </c>
      <c r="AJ179" t="n">
        <v>1</v>
      </c>
      <c r="AK179" t="n">
        <v>1</v>
      </c>
      <c r="AL179" t="n">
        <v>0</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HYPERLINK("https://creighton-primo.hosted.exlibrisgroup.com/primo-explore/search?tab=default_tab&amp;search_scope=EVERYTHING&amp;vid=01CRU&amp;lang=en_US&amp;offset=0&amp;query=any,contains,991005008719702656","Catalog Record")</f>
        <v/>
      </c>
      <c r="AT179">
        <f>HYPERLINK("http://www.worldcat.org/oclc/974610","WorldCat Record")</f>
        <v/>
      </c>
      <c r="AU179" t="inlineStr">
        <is>
          <t>4915216810:eng</t>
        </is>
      </c>
      <c r="AV179" t="inlineStr">
        <is>
          <t>974610</t>
        </is>
      </c>
      <c r="AW179" t="inlineStr">
        <is>
          <t>991005008719702656</t>
        </is>
      </c>
      <c r="AX179" t="inlineStr">
        <is>
          <t>991005008719702656</t>
        </is>
      </c>
      <c r="AY179" t="inlineStr">
        <is>
          <t>2257661260002656</t>
        </is>
      </c>
      <c r="AZ179" t="inlineStr">
        <is>
          <t>BOOK</t>
        </is>
      </c>
      <c r="BC179" t="inlineStr">
        <is>
          <t>32285005274799</t>
        </is>
      </c>
      <c r="BD179" t="inlineStr">
        <is>
          <t>893344509</t>
        </is>
      </c>
    </row>
    <row r="180">
      <c r="A180" t="inlineStr">
        <is>
          <t>No</t>
        </is>
      </c>
      <c r="B180" t="inlineStr">
        <is>
          <t>NA610 .C5 1950</t>
        </is>
      </c>
      <c r="C180" t="inlineStr">
        <is>
          <t>0                      NA 0610000C  5           1950</t>
        </is>
      </c>
      <c r="D180" t="inlineStr">
        <is>
          <t>The Gothic revival : an essay in the history of taste / Kenneth Clark.</t>
        </is>
      </c>
      <c r="F180" t="inlineStr">
        <is>
          <t>No</t>
        </is>
      </c>
      <c r="G180" t="inlineStr">
        <is>
          <t>1</t>
        </is>
      </c>
      <c r="H180" t="inlineStr">
        <is>
          <t>No</t>
        </is>
      </c>
      <c r="I180" t="inlineStr">
        <is>
          <t>No</t>
        </is>
      </c>
      <c r="J180" t="inlineStr">
        <is>
          <t>0</t>
        </is>
      </c>
      <c r="K180" t="inlineStr">
        <is>
          <t>Clark, Kenneth, 1903-1983.</t>
        </is>
      </c>
      <c r="L180" t="inlineStr">
        <is>
          <t>New York : Scribners, 1950.</t>
        </is>
      </c>
      <c r="M180" t="inlineStr">
        <is>
          <t>1950</t>
        </is>
      </c>
      <c r="N180" t="inlineStr">
        <is>
          <t>Rev. and enl. ed.</t>
        </is>
      </c>
      <c r="O180" t="inlineStr">
        <is>
          <t>eng</t>
        </is>
      </c>
      <c r="P180" t="inlineStr">
        <is>
          <t>nyu</t>
        </is>
      </c>
      <c r="R180" t="inlineStr">
        <is>
          <t xml:space="preserve">NA </t>
        </is>
      </c>
      <c r="S180" t="n">
        <v>2</v>
      </c>
      <c r="T180" t="n">
        <v>2</v>
      </c>
      <c r="U180" t="inlineStr">
        <is>
          <t>1999-02-20</t>
        </is>
      </c>
      <c r="V180" t="inlineStr">
        <is>
          <t>1999-02-20</t>
        </is>
      </c>
      <c r="W180" t="inlineStr">
        <is>
          <t>1997-07-01</t>
        </is>
      </c>
      <c r="X180" t="inlineStr">
        <is>
          <t>1997-07-01</t>
        </is>
      </c>
      <c r="Y180" t="n">
        <v>101</v>
      </c>
      <c r="Z180" t="n">
        <v>95</v>
      </c>
      <c r="AA180" t="n">
        <v>1081</v>
      </c>
      <c r="AB180" t="n">
        <v>2</v>
      </c>
      <c r="AC180" t="n">
        <v>7</v>
      </c>
      <c r="AD180" t="n">
        <v>2</v>
      </c>
      <c r="AE180" t="n">
        <v>42</v>
      </c>
      <c r="AF180" t="n">
        <v>1</v>
      </c>
      <c r="AG180" t="n">
        <v>17</v>
      </c>
      <c r="AH180" t="n">
        <v>0</v>
      </c>
      <c r="AI180" t="n">
        <v>9</v>
      </c>
      <c r="AJ180" t="n">
        <v>1</v>
      </c>
      <c r="AK180" t="n">
        <v>22</v>
      </c>
      <c r="AL180" t="n">
        <v>1</v>
      </c>
      <c r="AM180" t="n">
        <v>5</v>
      </c>
      <c r="AN180" t="n">
        <v>0</v>
      </c>
      <c r="AO180" t="n">
        <v>0</v>
      </c>
      <c r="AP180" t="inlineStr">
        <is>
          <t>No</t>
        </is>
      </c>
      <c r="AQ180" t="inlineStr">
        <is>
          <t>Yes</t>
        </is>
      </c>
      <c r="AR180">
        <f>HYPERLINK("http://catalog.hathitrust.org/Record/002513972","HathiTrust Record")</f>
        <v/>
      </c>
      <c r="AS180">
        <f>HYPERLINK("https://creighton-primo.hosted.exlibrisgroup.com/primo-explore/search?tab=default_tab&amp;search_scope=EVERYTHING&amp;vid=01CRU&amp;lang=en_US&amp;offset=0&amp;query=any,contains,991002273049702656","Catalog Record")</f>
        <v/>
      </c>
      <c r="AT180">
        <f>HYPERLINK("http://www.worldcat.org/oclc/29511836","WorldCat Record")</f>
        <v/>
      </c>
      <c r="AU180" t="inlineStr">
        <is>
          <t>49046896:eng</t>
        </is>
      </c>
      <c r="AV180" t="inlineStr">
        <is>
          <t>29511836</t>
        </is>
      </c>
      <c r="AW180" t="inlineStr">
        <is>
          <t>991002273049702656</t>
        </is>
      </c>
      <c r="AX180" t="inlineStr">
        <is>
          <t>991002273049702656</t>
        </is>
      </c>
      <c r="AY180" t="inlineStr">
        <is>
          <t>2269239410002656</t>
        </is>
      </c>
      <c r="AZ180" t="inlineStr">
        <is>
          <t>BOOK</t>
        </is>
      </c>
      <c r="BC180" t="inlineStr">
        <is>
          <t>32285002861234</t>
        </is>
      </c>
      <c r="BD180" t="inlineStr">
        <is>
          <t>893427417</t>
        </is>
      </c>
    </row>
    <row r="181">
      <c r="A181" t="inlineStr">
        <is>
          <t>No</t>
        </is>
      </c>
      <c r="B181" t="inlineStr">
        <is>
          <t>NA610 .G37</t>
        </is>
      </c>
      <c r="C181" t="inlineStr">
        <is>
          <t>0                      NA 0610000G  37</t>
        </is>
      </c>
      <c r="D181" t="inlineStr">
        <is>
          <t>Ruskin on architecture: his thought and influence.</t>
        </is>
      </c>
      <c r="F181" t="inlineStr">
        <is>
          <t>No</t>
        </is>
      </c>
      <c r="G181" t="inlineStr">
        <is>
          <t>1</t>
        </is>
      </c>
      <c r="H181" t="inlineStr">
        <is>
          <t>No</t>
        </is>
      </c>
      <c r="I181" t="inlineStr">
        <is>
          <t>No</t>
        </is>
      </c>
      <c r="J181" t="inlineStr">
        <is>
          <t>0</t>
        </is>
      </c>
      <c r="K181" t="inlineStr">
        <is>
          <t>Garrigan, Kristine Ottesen, 1939-</t>
        </is>
      </c>
      <c r="L181" t="inlineStr">
        <is>
          <t>[Madison] University of Wisconsin Press [1973]</t>
        </is>
      </c>
      <c r="M181" t="inlineStr">
        <is>
          <t>1973</t>
        </is>
      </c>
      <c r="O181" t="inlineStr">
        <is>
          <t>eng</t>
        </is>
      </c>
      <c r="P181" t="inlineStr">
        <is>
          <t>wiu</t>
        </is>
      </c>
      <c r="R181" t="inlineStr">
        <is>
          <t xml:space="preserve">NA </t>
        </is>
      </c>
      <c r="S181" t="n">
        <v>3</v>
      </c>
      <c r="T181" t="n">
        <v>3</v>
      </c>
      <c r="U181" t="inlineStr">
        <is>
          <t>1999-02-20</t>
        </is>
      </c>
      <c r="V181" t="inlineStr">
        <is>
          <t>1999-02-20</t>
        </is>
      </c>
      <c r="W181" t="inlineStr">
        <is>
          <t>1996-04-24</t>
        </is>
      </c>
      <c r="X181" t="inlineStr">
        <is>
          <t>1996-04-24</t>
        </is>
      </c>
      <c r="Y181" t="n">
        <v>786</v>
      </c>
      <c r="Z181" t="n">
        <v>642</v>
      </c>
      <c r="AA181" t="n">
        <v>652</v>
      </c>
      <c r="AB181" t="n">
        <v>5</v>
      </c>
      <c r="AC181" t="n">
        <v>5</v>
      </c>
      <c r="AD181" t="n">
        <v>29</v>
      </c>
      <c r="AE181" t="n">
        <v>29</v>
      </c>
      <c r="AF181" t="n">
        <v>12</v>
      </c>
      <c r="AG181" t="n">
        <v>12</v>
      </c>
      <c r="AH181" t="n">
        <v>8</v>
      </c>
      <c r="AI181" t="n">
        <v>8</v>
      </c>
      <c r="AJ181" t="n">
        <v>13</v>
      </c>
      <c r="AK181" t="n">
        <v>13</v>
      </c>
      <c r="AL181" t="n">
        <v>4</v>
      </c>
      <c r="AM181" t="n">
        <v>4</v>
      </c>
      <c r="AN181" t="n">
        <v>0</v>
      </c>
      <c r="AO181" t="n">
        <v>0</v>
      </c>
      <c r="AP181" t="inlineStr">
        <is>
          <t>No</t>
        </is>
      </c>
      <c r="AQ181" t="inlineStr">
        <is>
          <t>Yes</t>
        </is>
      </c>
      <c r="AR181">
        <f>HYPERLINK("http://catalog.hathitrust.org/Record/000411020","HathiTrust Record")</f>
        <v/>
      </c>
      <c r="AS181">
        <f>HYPERLINK("https://creighton-primo.hosted.exlibrisgroup.com/primo-explore/search?tab=default_tab&amp;search_scope=EVERYTHING&amp;vid=01CRU&amp;lang=en_US&amp;offset=0&amp;query=any,contains,991003135299702656","Catalog Record")</f>
        <v/>
      </c>
      <c r="AT181">
        <f>HYPERLINK("http://www.worldcat.org/oclc/677261","WorldCat Record")</f>
        <v/>
      </c>
      <c r="AU181" t="inlineStr">
        <is>
          <t>1734461:eng</t>
        </is>
      </c>
      <c r="AV181" t="inlineStr">
        <is>
          <t>677261</t>
        </is>
      </c>
      <c r="AW181" t="inlineStr">
        <is>
          <t>991003135299702656</t>
        </is>
      </c>
      <c r="AX181" t="inlineStr">
        <is>
          <t>991003135299702656</t>
        </is>
      </c>
      <c r="AY181" t="inlineStr">
        <is>
          <t>2272454700002656</t>
        </is>
      </c>
      <c r="AZ181" t="inlineStr">
        <is>
          <t>BOOK</t>
        </is>
      </c>
      <c r="BB181" t="inlineStr">
        <is>
          <t>9780299064600</t>
        </is>
      </c>
      <c r="BC181" t="inlineStr">
        <is>
          <t>32285002153681</t>
        </is>
      </c>
      <c r="BD181" t="inlineStr">
        <is>
          <t>893262641</t>
        </is>
      </c>
    </row>
    <row r="182">
      <c r="A182" t="inlineStr">
        <is>
          <t>No</t>
        </is>
      </c>
      <c r="B182" t="inlineStr">
        <is>
          <t>NA610 .G4713 1973</t>
        </is>
      </c>
      <c r="C182" t="inlineStr">
        <is>
          <t>0                      NA 0610000G  4713        1973</t>
        </is>
      </c>
      <c r="D182" t="inlineStr">
        <is>
          <t>Gothic revival in Europe and Britain: sources, influences, and ideas. Translated by Gerald Onn.</t>
        </is>
      </c>
      <c r="F182" t="inlineStr">
        <is>
          <t>No</t>
        </is>
      </c>
      <c r="G182" t="inlineStr">
        <is>
          <t>1</t>
        </is>
      </c>
      <c r="H182" t="inlineStr">
        <is>
          <t>No</t>
        </is>
      </c>
      <c r="I182" t="inlineStr">
        <is>
          <t>No</t>
        </is>
      </c>
      <c r="J182" t="inlineStr">
        <is>
          <t>0</t>
        </is>
      </c>
      <c r="K182" t="inlineStr">
        <is>
          <t>Germann, Georg.</t>
        </is>
      </c>
      <c r="L182" t="inlineStr">
        <is>
          <t>Cambridge, Mass., MIT Press [1973, c1972]</t>
        </is>
      </c>
      <c r="M182" t="inlineStr">
        <is>
          <t>1973</t>
        </is>
      </c>
      <c r="N182" t="inlineStr">
        <is>
          <t>[1st American ed.]</t>
        </is>
      </c>
      <c r="O182" t="inlineStr">
        <is>
          <t>eng</t>
        </is>
      </c>
      <c r="P182" t="inlineStr">
        <is>
          <t>mau</t>
        </is>
      </c>
      <c r="R182" t="inlineStr">
        <is>
          <t xml:space="preserve">NA </t>
        </is>
      </c>
      <c r="S182" t="n">
        <v>6</v>
      </c>
      <c r="T182" t="n">
        <v>6</v>
      </c>
      <c r="U182" t="inlineStr">
        <is>
          <t>2007-11-20</t>
        </is>
      </c>
      <c r="V182" t="inlineStr">
        <is>
          <t>2007-11-20</t>
        </is>
      </c>
      <c r="W182" t="inlineStr">
        <is>
          <t>1997-07-01</t>
        </is>
      </c>
      <c r="X182" t="inlineStr">
        <is>
          <t>1997-07-01</t>
        </is>
      </c>
      <c r="Y182" t="n">
        <v>359</v>
      </c>
      <c r="Z182" t="n">
        <v>337</v>
      </c>
      <c r="AA182" t="n">
        <v>440</v>
      </c>
      <c r="AB182" t="n">
        <v>2</v>
      </c>
      <c r="AC182" t="n">
        <v>2</v>
      </c>
      <c r="AD182" t="n">
        <v>14</v>
      </c>
      <c r="AE182" t="n">
        <v>15</v>
      </c>
      <c r="AF182" t="n">
        <v>5</v>
      </c>
      <c r="AG182" t="n">
        <v>6</v>
      </c>
      <c r="AH182" t="n">
        <v>4</v>
      </c>
      <c r="AI182" t="n">
        <v>4</v>
      </c>
      <c r="AJ182" t="n">
        <v>6</v>
      </c>
      <c r="AK182" t="n">
        <v>6</v>
      </c>
      <c r="AL182" t="n">
        <v>1</v>
      </c>
      <c r="AM182" t="n">
        <v>1</v>
      </c>
      <c r="AN182" t="n">
        <v>0</v>
      </c>
      <c r="AO182" t="n">
        <v>0</v>
      </c>
      <c r="AP182" t="inlineStr">
        <is>
          <t>No</t>
        </is>
      </c>
      <c r="AQ182" t="inlineStr">
        <is>
          <t>Yes</t>
        </is>
      </c>
      <c r="AR182">
        <f>HYPERLINK("http://catalog.hathitrust.org/Record/000011015","HathiTrust Record")</f>
        <v/>
      </c>
      <c r="AS182">
        <f>HYPERLINK("https://creighton-primo.hosted.exlibrisgroup.com/primo-explore/search?tab=default_tab&amp;search_scope=EVERYTHING&amp;vid=01CRU&amp;lang=en_US&amp;offset=0&amp;query=any,contains,991003141109702656","Catalog Record")</f>
        <v/>
      </c>
      <c r="AT182">
        <f>HYPERLINK("http://www.worldcat.org/oclc/682603","WorldCat Record")</f>
        <v/>
      </c>
      <c r="AU182" t="inlineStr">
        <is>
          <t>248363301:eng</t>
        </is>
      </c>
      <c r="AV182" t="inlineStr">
        <is>
          <t>682603</t>
        </is>
      </c>
      <c r="AW182" t="inlineStr">
        <is>
          <t>991003141109702656</t>
        </is>
      </c>
      <c r="AX182" t="inlineStr">
        <is>
          <t>991003141109702656</t>
        </is>
      </c>
      <c r="AY182" t="inlineStr">
        <is>
          <t>2262522170002656</t>
        </is>
      </c>
      <c r="AZ182" t="inlineStr">
        <is>
          <t>BOOK</t>
        </is>
      </c>
      <c r="BB182" t="inlineStr">
        <is>
          <t>9780262070591</t>
        </is>
      </c>
      <c r="BC182" t="inlineStr">
        <is>
          <t>32285002861242</t>
        </is>
      </c>
      <c r="BD182" t="inlineStr">
        <is>
          <t>893787006</t>
        </is>
      </c>
    </row>
    <row r="183">
      <c r="A183" t="inlineStr">
        <is>
          <t>No</t>
        </is>
      </c>
      <c r="B183" t="inlineStr">
        <is>
          <t>NA6150 .M37 1994</t>
        </is>
      </c>
      <c r="C183" t="inlineStr">
        <is>
          <t>0                      NA 6150000M  37          1994</t>
        </is>
      </c>
      <c r="D183" t="inlineStr">
        <is>
          <t>The revival styles in American memorial art / Peggy McDowell and Richard E. Meyer.</t>
        </is>
      </c>
      <c r="F183" t="inlineStr">
        <is>
          <t>No</t>
        </is>
      </c>
      <c r="G183" t="inlineStr">
        <is>
          <t>1</t>
        </is>
      </c>
      <c r="H183" t="inlineStr">
        <is>
          <t>No</t>
        </is>
      </c>
      <c r="I183" t="inlineStr">
        <is>
          <t>No</t>
        </is>
      </c>
      <c r="J183" t="inlineStr">
        <is>
          <t>0</t>
        </is>
      </c>
      <c r="K183" t="inlineStr">
        <is>
          <t>McDowell, Peggy.</t>
        </is>
      </c>
      <c r="L183" t="inlineStr">
        <is>
          <t>Bowling Green, OH : Bowling Green State University Popular Press, 1994.</t>
        </is>
      </c>
      <c r="M183" t="inlineStr">
        <is>
          <t>1994</t>
        </is>
      </c>
      <c r="O183" t="inlineStr">
        <is>
          <t>eng</t>
        </is>
      </c>
      <c r="P183" t="inlineStr">
        <is>
          <t>ohu</t>
        </is>
      </c>
      <c r="R183" t="inlineStr">
        <is>
          <t xml:space="preserve">NA </t>
        </is>
      </c>
      <c r="S183" t="n">
        <v>4</v>
      </c>
      <c r="T183" t="n">
        <v>4</v>
      </c>
      <c r="U183" t="inlineStr">
        <is>
          <t>2000-03-21</t>
        </is>
      </c>
      <c r="V183" t="inlineStr">
        <is>
          <t>2000-03-21</t>
        </is>
      </c>
      <c r="W183" t="inlineStr">
        <is>
          <t>1995-10-30</t>
        </is>
      </c>
      <c r="X183" t="inlineStr">
        <is>
          <t>1995-10-30</t>
        </is>
      </c>
      <c r="Y183" t="n">
        <v>296</v>
      </c>
      <c r="Z183" t="n">
        <v>280</v>
      </c>
      <c r="AA183" t="n">
        <v>281</v>
      </c>
      <c r="AB183" t="n">
        <v>2</v>
      </c>
      <c r="AC183" t="n">
        <v>2</v>
      </c>
      <c r="AD183" t="n">
        <v>10</v>
      </c>
      <c r="AE183" t="n">
        <v>10</v>
      </c>
      <c r="AF183" t="n">
        <v>2</v>
      </c>
      <c r="AG183" t="n">
        <v>2</v>
      </c>
      <c r="AH183" t="n">
        <v>4</v>
      </c>
      <c r="AI183" t="n">
        <v>4</v>
      </c>
      <c r="AJ183" t="n">
        <v>4</v>
      </c>
      <c r="AK183" t="n">
        <v>4</v>
      </c>
      <c r="AL183" t="n">
        <v>1</v>
      </c>
      <c r="AM183" t="n">
        <v>1</v>
      </c>
      <c r="AN183" t="n">
        <v>0</v>
      </c>
      <c r="AO183" t="n">
        <v>0</v>
      </c>
      <c r="AP183" t="inlineStr">
        <is>
          <t>No</t>
        </is>
      </c>
      <c r="AQ183" t="inlineStr">
        <is>
          <t>Yes</t>
        </is>
      </c>
      <c r="AR183">
        <f>HYPERLINK("http://catalog.hathitrust.org/Record/002902376","HathiTrust Record")</f>
        <v/>
      </c>
      <c r="AS183">
        <f>HYPERLINK("https://creighton-primo.hosted.exlibrisgroup.com/primo-explore/search?tab=default_tab&amp;search_scope=EVERYTHING&amp;vid=01CRU&amp;lang=en_US&amp;offset=0&amp;query=any,contains,991002366409702656","Catalog Record")</f>
        <v/>
      </c>
      <c r="AT183">
        <f>HYPERLINK("http://www.worldcat.org/oclc/30763931","WorldCat Record")</f>
        <v/>
      </c>
      <c r="AU183" t="inlineStr">
        <is>
          <t>32736599:eng</t>
        </is>
      </c>
      <c r="AV183" t="inlineStr">
        <is>
          <t>30763931</t>
        </is>
      </c>
      <c r="AW183" t="inlineStr">
        <is>
          <t>991002366409702656</t>
        </is>
      </c>
      <c r="AX183" t="inlineStr">
        <is>
          <t>991002366409702656</t>
        </is>
      </c>
      <c r="AY183" t="inlineStr">
        <is>
          <t>2267451890002656</t>
        </is>
      </c>
      <c r="AZ183" t="inlineStr">
        <is>
          <t>BOOK</t>
        </is>
      </c>
      <c r="BB183" t="inlineStr">
        <is>
          <t>9780879726331</t>
        </is>
      </c>
      <c r="BC183" t="inlineStr">
        <is>
          <t>32285002069804</t>
        </is>
      </c>
      <c r="BD183" t="inlineStr">
        <is>
          <t>893779727</t>
        </is>
      </c>
    </row>
    <row r="184">
      <c r="A184" t="inlineStr">
        <is>
          <t>No</t>
        </is>
      </c>
      <c r="B184" t="inlineStr">
        <is>
          <t>NA6212 .L54 1995</t>
        </is>
      </c>
      <c r="C184" t="inlineStr">
        <is>
          <t>0                      NA 6212000L  54          1995</t>
        </is>
      </c>
      <c r="D184" t="inlineStr">
        <is>
          <t>Main street to Miracle Mile : American roadside architecture / Chester H. Liebs.</t>
        </is>
      </c>
      <c r="F184" t="inlineStr">
        <is>
          <t>No</t>
        </is>
      </c>
      <c r="G184" t="inlineStr">
        <is>
          <t>1</t>
        </is>
      </c>
      <c r="H184" t="inlineStr">
        <is>
          <t>No</t>
        </is>
      </c>
      <c r="I184" t="inlineStr">
        <is>
          <t>No</t>
        </is>
      </c>
      <c r="J184" t="inlineStr">
        <is>
          <t>0</t>
        </is>
      </c>
      <c r="K184" t="inlineStr">
        <is>
          <t>Liebs, Chester H.</t>
        </is>
      </c>
      <c r="L184" t="inlineStr">
        <is>
          <t>Baltimore : Johns Hopkins University Press, 1995.</t>
        </is>
      </c>
      <c r="M184" t="inlineStr">
        <is>
          <t>1995</t>
        </is>
      </c>
      <c r="N184" t="inlineStr">
        <is>
          <t>John Hopkins Paperbacks ed.</t>
        </is>
      </c>
      <c r="O184" t="inlineStr">
        <is>
          <t>eng</t>
        </is>
      </c>
      <c r="P184" t="inlineStr">
        <is>
          <t>mdu</t>
        </is>
      </c>
      <c r="R184" t="inlineStr">
        <is>
          <t xml:space="preserve">NA </t>
        </is>
      </c>
      <c r="S184" t="n">
        <v>6</v>
      </c>
      <c r="T184" t="n">
        <v>6</v>
      </c>
      <c r="U184" t="inlineStr">
        <is>
          <t>2005-04-10</t>
        </is>
      </c>
      <c r="V184" t="inlineStr">
        <is>
          <t>2005-04-10</t>
        </is>
      </c>
      <c r="W184" t="inlineStr">
        <is>
          <t>1996-01-16</t>
        </is>
      </c>
      <c r="X184" t="inlineStr">
        <is>
          <t>1996-01-16</t>
        </is>
      </c>
      <c r="Y184" t="n">
        <v>210</v>
      </c>
      <c r="Z184" t="n">
        <v>183</v>
      </c>
      <c r="AA184" t="n">
        <v>906</v>
      </c>
      <c r="AB184" t="n">
        <v>1</v>
      </c>
      <c r="AC184" t="n">
        <v>5</v>
      </c>
      <c r="AD184" t="n">
        <v>4</v>
      </c>
      <c r="AE184" t="n">
        <v>24</v>
      </c>
      <c r="AF184" t="n">
        <v>1</v>
      </c>
      <c r="AG184" t="n">
        <v>10</v>
      </c>
      <c r="AH184" t="n">
        <v>0</v>
      </c>
      <c r="AI184" t="n">
        <v>3</v>
      </c>
      <c r="AJ184" t="n">
        <v>2</v>
      </c>
      <c r="AK184" t="n">
        <v>13</v>
      </c>
      <c r="AL184" t="n">
        <v>0</v>
      </c>
      <c r="AM184" t="n">
        <v>2</v>
      </c>
      <c r="AN184" t="n">
        <v>1</v>
      </c>
      <c r="AO184" t="n">
        <v>1</v>
      </c>
      <c r="AP184" t="inlineStr">
        <is>
          <t>No</t>
        </is>
      </c>
      <c r="AQ184" t="inlineStr">
        <is>
          <t>No</t>
        </is>
      </c>
      <c r="AS184">
        <f>HYPERLINK("https://creighton-primo.hosted.exlibrisgroup.com/primo-explore/search?tab=default_tab&amp;search_scope=EVERYTHING&amp;vid=01CRU&amp;lang=en_US&amp;offset=0&amp;query=any,contains,991002482909702656","Catalog Record")</f>
        <v/>
      </c>
      <c r="AT184">
        <f>HYPERLINK("http://www.worldcat.org/oclc/32312934","WorldCat Record")</f>
        <v/>
      </c>
      <c r="AU184" t="inlineStr">
        <is>
          <t>836903410:eng</t>
        </is>
      </c>
      <c r="AV184" t="inlineStr">
        <is>
          <t>32312934</t>
        </is>
      </c>
      <c r="AW184" t="inlineStr">
        <is>
          <t>991002482909702656</t>
        </is>
      </c>
      <c r="AX184" t="inlineStr">
        <is>
          <t>991002482909702656</t>
        </is>
      </c>
      <c r="AY184" t="inlineStr">
        <is>
          <t>2268722150002656</t>
        </is>
      </c>
      <c r="AZ184" t="inlineStr">
        <is>
          <t>BOOK</t>
        </is>
      </c>
      <c r="BB184" t="inlineStr">
        <is>
          <t>9780801850950</t>
        </is>
      </c>
      <c r="BC184" t="inlineStr">
        <is>
          <t>32285002116761</t>
        </is>
      </c>
      <c r="BD184" t="inlineStr">
        <is>
          <t>893262307</t>
        </is>
      </c>
    </row>
    <row r="185">
      <c r="A185" t="inlineStr">
        <is>
          <t>No</t>
        </is>
      </c>
      <c r="B185" t="inlineStr">
        <is>
          <t>NA6230 .D87 1996</t>
        </is>
      </c>
      <c r="C185" t="inlineStr">
        <is>
          <t>0                      NA 6230000D  87          1996</t>
        </is>
      </c>
      <c r="D185" t="inlineStr">
        <is>
          <t>Skyscrapers / Judith Dupré ; introductory interview with Philip Johnson.</t>
        </is>
      </c>
      <c r="F185" t="inlineStr">
        <is>
          <t>No</t>
        </is>
      </c>
      <c r="G185" t="inlineStr">
        <is>
          <t>1</t>
        </is>
      </c>
      <c r="H185" t="inlineStr">
        <is>
          <t>No</t>
        </is>
      </c>
      <c r="I185" t="inlineStr">
        <is>
          <t>No</t>
        </is>
      </c>
      <c r="J185" t="inlineStr">
        <is>
          <t>0</t>
        </is>
      </c>
      <c r="K185" t="inlineStr">
        <is>
          <t>Dupré, Judith, 1956-</t>
        </is>
      </c>
      <c r="L185" t="inlineStr">
        <is>
          <t>New York : Black Dog &amp; Leventhal : Distributed by Workman, c1996.</t>
        </is>
      </c>
      <c r="M185" t="inlineStr">
        <is>
          <t>1996</t>
        </is>
      </c>
      <c r="O185" t="inlineStr">
        <is>
          <t>eng</t>
        </is>
      </c>
      <c r="P185" t="inlineStr">
        <is>
          <t>nyu</t>
        </is>
      </c>
      <c r="R185" t="inlineStr">
        <is>
          <t xml:space="preserve">NA </t>
        </is>
      </c>
      <c r="S185" t="n">
        <v>5</v>
      </c>
      <c r="T185" t="n">
        <v>5</v>
      </c>
      <c r="U185" t="inlineStr">
        <is>
          <t>2002-05-02</t>
        </is>
      </c>
      <c r="V185" t="inlineStr">
        <is>
          <t>2002-05-02</t>
        </is>
      </c>
      <c r="W185" t="inlineStr">
        <is>
          <t>1997-04-21</t>
        </is>
      </c>
      <c r="X185" t="inlineStr">
        <is>
          <t>1997-04-21</t>
        </is>
      </c>
      <c r="Y185" t="n">
        <v>528</v>
      </c>
      <c r="Z185" t="n">
        <v>456</v>
      </c>
      <c r="AA185" t="n">
        <v>734</v>
      </c>
      <c r="AB185" t="n">
        <v>2</v>
      </c>
      <c r="AC185" t="n">
        <v>6</v>
      </c>
      <c r="AD185" t="n">
        <v>6</v>
      </c>
      <c r="AE185" t="n">
        <v>7</v>
      </c>
      <c r="AF185" t="n">
        <v>2</v>
      </c>
      <c r="AG185" t="n">
        <v>2</v>
      </c>
      <c r="AH185" t="n">
        <v>1</v>
      </c>
      <c r="AI185" t="n">
        <v>1</v>
      </c>
      <c r="AJ185" t="n">
        <v>4</v>
      </c>
      <c r="AK185" t="n">
        <v>4</v>
      </c>
      <c r="AL185" t="n">
        <v>0</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HYPERLINK("https://creighton-primo.hosted.exlibrisgroup.com/primo-explore/search?tab=default_tab&amp;search_scope=EVERYTHING&amp;vid=01CRU&amp;lang=en_US&amp;offset=0&amp;query=any,contains,991002616279702656","Catalog Record")</f>
        <v/>
      </c>
      <c r="AT185">
        <f>HYPERLINK("http://www.worldcat.org/oclc/34284683","WorldCat Record")</f>
        <v/>
      </c>
      <c r="AU185" t="inlineStr">
        <is>
          <t>1055951:eng</t>
        </is>
      </c>
      <c r="AV185" t="inlineStr">
        <is>
          <t>34284683</t>
        </is>
      </c>
      <c r="AW185" t="inlineStr">
        <is>
          <t>991002616279702656</t>
        </is>
      </c>
      <c r="AX185" t="inlineStr">
        <is>
          <t>991002616279702656</t>
        </is>
      </c>
      <c r="AY185" t="inlineStr">
        <is>
          <t>2261190000002656</t>
        </is>
      </c>
      <c r="AZ185" t="inlineStr">
        <is>
          <t>BOOK</t>
        </is>
      </c>
      <c r="BB185" t="inlineStr">
        <is>
          <t>9781884822452</t>
        </is>
      </c>
      <c r="BC185" t="inlineStr">
        <is>
          <t>32285002499183</t>
        </is>
      </c>
      <c r="BD185" t="inlineStr">
        <is>
          <t>893239283</t>
        </is>
      </c>
    </row>
    <row r="186">
      <c r="A186" t="inlineStr">
        <is>
          <t>No</t>
        </is>
      </c>
      <c r="B186" t="inlineStr">
        <is>
          <t>NA6290 .M9513 1981</t>
        </is>
      </c>
      <c r="C186" t="inlineStr">
        <is>
          <t>0                      NA 6290000M  9513        1981</t>
        </is>
      </c>
      <c r="D186" t="inlineStr">
        <is>
          <t>The Architecture of transport in the Federal Republic of Germany / Karlhans Müller ; translation by Karen Roux-Nielsen.</t>
        </is>
      </c>
      <c r="F186" t="inlineStr">
        <is>
          <t>No</t>
        </is>
      </c>
      <c r="G186" t="inlineStr">
        <is>
          <t>1</t>
        </is>
      </c>
      <c r="H186" t="inlineStr">
        <is>
          <t>No</t>
        </is>
      </c>
      <c r="I186" t="inlineStr">
        <is>
          <t>No</t>
        </is>
      </c>
      <c r="J186" t="inlineStr">
        <is>
          <t>0</t>
        </is>
      </c>
      <c r="K186" t="inlineStr">
        <is>
          <t>Müller, Karlhans, 1938-</t>
        </is>
      </c>
      <c r="L186" t="inlineStr">
        <is>
          <t>Bonn : Inter Nationes, c1981.</t>
        </is>
      </c>
      <c r="M186" t="inlineStr">
        <is>
          <t>1981</t>
        </is>
      </c>
      <c r="O186" t="inlineStr">
        <is>
          <t>eng</t>
        </is>
      </c>
      <c r="P186" t="inlineStr">
        <is>
          <t xml:space="preserve">gw </t>
        </is>
      </c>
      <c r="R186" t="inlineStr">
        <is>
          <t xml:space="preserve">NA </t>
        </is>
      </c>
      <c r="S186" t="n">
        <v>2</v>
      </c>
      <c r="T186" t="n">
        <v>2</v>
      </c>
      <c r="U186" t="inlineStr">
        <is>
          <t>1997-10-19</t>
        </is>
      </c>
      <c r="V186" t="inlineStr">
        <is>
          <t>1997-10-19</t>
        </is>
      </c>
      <c r="W186" t="inlineStr">
        <is>
          <t>1993-05-14</t>
        </is>
      </c>
      <c r="X186" t="inlineStr">
        <is>
          <t>1993-05-14</t>
        </is>
      </c>
      <c r="Y186" t="n">
        <v>543</v>
      </c>
      <c r="Z186" t="n">
        <v>411</v>
      </c>
      <c r="AA186" t="n">
        <v>418</v>
      </c>
      <c r="AB186" t="n">
        <v>5</v>
      </c>
      <c r="AC186" t="n">
        <v>5</v>
      </c>
      <c r="AD186" t="n">
        <v>17</v>
      </c>
      <c r="AE186" t="n">
        <v>17</v>
      </c>
      <c r="AF186" t="n">
        <v>5</v>
      </c>
      <c r="AG186" t="n">
        <v>5</v>
      </c>
      <c r="AH186" t="n">
        <v>5</v>
      </c>
      <c r="AI186" t="n">
        <v>5</v>
      </c>
      <c r="AJ186" t="n">
        <v>6</v>
      </c>
      <c r="AK186" t="n">
        <v>6</v>
      </c>
      <c r="AL186" t="n">
        <v>4</v>
      </c>
      <c r="AM186" t="n">
        <v>4</v>
      </c>
      <c r="AN186" t="n">
        <v>0</v>
      </c>
      <c r="AO186" t="n">
        <v>0</v>
      </c>
      <c r="AP186" t="inlineStr">
        <is>
          <t>No</t>
        </is>
      </c>
      <c r="AQ186" t="inlineStr">
        <is>
          <t>Yes</t>
        </is>
      </c>
      <c r="AR186">
        <f>HYPERLINK("http://catalog.hathitrust.org/Record/000772373","HathiTrust Record")</f>
        <v/>
      </c>
      <c r="AS186">
        <f>HYPERLINK("https://creighton-primo.hosted.exlibrisgroup.com/primo-explore/search?tab=default_tab&amp;search_scope=EVERYTHING&amp;vid=01CRU&amp;lang=en_US&amp;offset=0&amp;query=any,contains,991005238799702656","Catalog Record")</f>
        <v/>
      </c>
      <c r="AT186">
        <f>HYPERLINK("http://www.worldcat.org/oclc/8399540","WorldCat Record")</f>
        <v/>
      </c>
      <c r="AU186" t="inlineStr">
        <is>
          <t>24488806:eng</t>
        </is>
      </c>
      <c r="AV186" t="inlineStr">
        <is>
          <t>8399540</t>
        </is>
      </c>
      <c r="AW186" t="inlineStr">
        <is>
          <t>991005238799702656</t>
        </is>
      </c>
      <c r="AX186" t="inlineStr">
        <is>
          <t>991005238799702656</t>
        </is>
      </c>
      <c r="AY186" t="inlineStr">
        <is>
          <t>2261001900002656</t>
        </is>
      </c>
      <c r="AZ186" t="inlineStr">
        <is>
          <t>BOOK</t>
        </is>
      </c>
      <c r="BB186" t="inlineStr">
        <is>
          <t>9783787901968</t>
        </is>
      </c>
      <c r="BC186" t="inlineStr">
        <is>
          <t>32285001658110</t>
        </is>
      </c>
      <c r="BD186" t="inlineStr">
        <is>
          <t>893443639</t>
        </is>
      </c>
    </row>
    <row r="187">
      <c r="A187" t="inlineStr">
        <is>
          <t>No</t>
        </is>
      </c>
      <c r="B187" t="inlineStr">
        <is>
          <t>NA642 .F7 1983</t>
        </is>
      </c>
      <c r="C187" t="inlineStr">
        <is>
          <t>0                      NA 0642000F  7           1983</t>
        </is>
      </c>
      <c r="D187" t="inlineStr">
        <is>
          <t>Modern architecture, 1851-1945 / Kenneth Frampton, Yukio Futagawa.</t>
        </is>
      </c>
      <c r="E187" t="inlineStr">
        <is>
          <t>V.2</t>
        </is>
      </c>
      <c r="F187" t="inlineStr">
        <is>
          <t>Yes</t>
        </is>
      </c>
      <c r="G187" t="inlineStr">
        <is>
          <t>1</t>
        </is>
      </c>
      <c r="H187" t="inlineStr">
        <is>
          <t>No</t>
        </is>
      </c>
      <c r="I187" t="inlineStr">
        <is>
          <t>No</t>
        </is>
      </c>
      <c r="J187" t="inlineStr">
        <is>
          <t>0</t>
        </is>
      </c>
      <c r="K187" t="inlineStr">
        <is>
          <t>Frampton, Kenneth.</t>
        </is>
      </c>
      <c r="L187" t="inlineStr">
        <is>
          <t>New York, N.Y. : Rizzoli, 1983.</t>
        </is>
      </c>
      <c r="M187" t="inlineStr">
        <is>
          <t>1983</t>
        </is>
      </c>
      <c r="O187" t="inlineStr">
        <is>
          <t>eng</t>
        </is>
      </c>
      <c r="P187" t="inlineStr">
        <is>
          <t>nyu</t>
        </is>
      </c>
      <c r="R187" t="inlineStr">
        <is>
          <t xml:space="preserve">NA </t>
        </is>
      </c>
      <c r="S187" t="n">
        <v>8</v>
      </c>
      <c r="T187" t="n">
        <v>10</v>
      </c>
      <c r="U187" t="inlineStr">
        <is>
          <t>2003-04-29</t>
        </is>
      </c>
      <c r="V187" t="inlineStr">
        <is>
          <t>2005-10-28</t>
        </is>
      </c>
      <c r="W187" t="inlineStr">
        <is>
          <t>1993-01-07</t>
        </is>
      </c>
      <c r="X187" t="inlineStr">
        <is>
          <t>1993-01-07</t>
        </is>
      </c>
      <c r="Y187" t="n">
        <v>33</v>
      </c>
      <c r="Z187" t="n">
        <v>25</v>
      </c>
      <c r="AA187" t="n">
        <v>568</v>
      </c>
      <c r="AB187" t="n">
        <v>1</v>
      </c>
      <c r="AC187" t="n">
        <v>2</v>
      </c>
      <c r="AD187" t="n">
        <v>0</v>
      </c>
      <c r="AE187" t="n">
        <v>15</v>
      </c>
      <c r="AF187" t="n">
        <v>0</v>
      </c>
      <c r="AG187" t="n">
        <v>5</v>
      </c>
      <c r="AH187" t="n">
        <v>0</v>
      </c>
      <c r="AI187" t="n">
        <v>5</v>
      </c>
      <c r="AJ187" t="n">
        <v>0</v>
      </c>
      <c r="AK187" t="n">
        <v>7</v>
      </c>
      <c r="AL187" t="n">
        <v>0</v>
      </c>
      <c r="AM187" t="n">
        <v>1</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HYPERLINK("https://creighton-primo.hosted.exlibrisgroup.com/primo-explore/search?tab=default_tab&amp;search_scope=EVERYTHING&amp;vid=01CRU&amp;lang=en_US&amp;offset=0&amp;query=any,contains,991000389629702656","Catalog Record")</f>
        <v/>
      </c>
      <c r="AT187">
        <f>HYPERLINK("http://www.worldcat.org/oclc/10535516","WorldCat Record")</f>
        <v/>
      </c>
      <c r="AU187" t="inlineStr">
        <is>
          <t>3372449251:eng</t>
        </is>
      </c>
      <c r="AV187" t="inlineStr">
        <is>
          <t>10535516</t>
        </is>
      </c>
      <c r="AW187" t="inlineStr">
        <is>
          <t>991000389629702656</t>
        </is>
      </c>
      <c r="AX187" t="inlineStr">
        <is>
          <t>991000389629702656</t>
        </is>
      </c>
      <c r="AY187" t="inlineStr">
        <is>
          <t>2258880340002656</t>
        </is>
      </c>
      <c r="AZ187" t="inlineStr">
        <is>
          <t>BOOK</t>
        </is>
      </c>
      <c r="BB187" t="inlineStr">
        <is>
          <t>9780847805082</t>
        </is>
      </c>
      <c r="BC187" t="inlineStr">
        <is>
          <t>32285001474195</t>
        </is>
      </c>
      <c r="BD187" t="inlineStr">
        <is>
          <t>893695791</t>
        </is>
      </c>
    </row>
    <row r="188">
      <c r="A188" t="inlineStr">
        <is>
          <t>No</t>
        </is>
      </c>
      <c r="B188" t="inlineStr">
        <is>
          <t>NA642 .F7 1983</t>
        </is>
      </c>
      <c r="C188" t="inlineStr">
        <is>
          <t>0                      NA 0642000F  7           1983</t>
        </is>
      </c>
      <c r="D188" t="inlineStr">
        <is>
          <t>Modern architecture, 1851-1945 / Kenneth Frampton, Yukio Futagawa.</t>
        </is>
      </c>
      <c r="E188" t="inlineStr">
        <is>
          <t>V.1</t>
        </is>
      </c>
      <c r="F188" t="inlineStr">
        <is>
          <t>Yes</t>
        </is>
      </c>
      <c r="G188" t="inlineStr">
        <is>
          <t>1</t>
        </is>
      </c>
      <c r="H188" t="inlineStr">
        <is>
          <t>No</t>
        </is>
      </c>
      <c r="I188" t="inlineStr">
        <is>
          <t>No</t>
        </is>
      </c>
      <c r="J188" t="inlineStr">
        <is>
          <t>0</t>
        </is>
      </c>
      <c r="K188" t="inlineStr">
        <is>
          <t>Frampton, Kenneth.</t>
        </is>
      </c>
      <c r="L188" t="inlineStr">
        <is>
          <t>New York, N.Y. : Rizzoli, 1983.</t>
        </is>
      </c>
      <c r="M188" t="inlineStr">
        <is>
          <t>1983</t>
        </is>
      </c>
      <c r="O188" t="inlineStr">
        <is>
          <t>eng</t>
        </is>
      </c>
      <c r="P188" t="inlineStr">
        <is>
          <t>nyu</t>
        </is>
      </c>
      <c r="R188" t="inlineStr">
        <is>
          <t xml:space="preserve">NA </t>
        </is>
      </c>
      <c r="S188" t="n">
        <v>2</v>
      </c>
      <c r="T188" t="n">
        <v>10</v>
      </c>
      <c r="U188" t="inlineStr">
        <is>
          <t>2005-10-28</t>
        </is>
      </c>
      <c r="V188" t="inlineStr">
        <is>
          <t>2005-10-28</t>
        </is>
      </c>
      <c r="W188" t="inlineStr">
        <is>
          <t>1990-04-17</t>
        </is>
      </c>
      <c r="X188" t="inlineStr">
        <is>
          <t>1993-01-07</t>
        </is>
      </c>
      <c r="Y188" t="n">
        <v>33</v>
      </c>
      <c r="Z188" t="n">
        <v>25</v>
      </c>
      <c r="AA188" t="n">
        <v>568</v>
      </c>
      <c r="AB188" t="n">
        <v>1</v>
      </c>
      <c r="AC188" t="n">
        <v>2</v>
      </c>
      <c r="AD188" t="n">
        <v>0</v>
      </c>
      <c r="AE188" t="n">
        <v>15</v>
      </c>
      <c r="AF188" t="n">
        <v>0</v>
      </c>
      <c r="AG188" t="n">
        <v>5</v>
      </c>
      <c r="AH188" t="n">
        <v>0</v>
      </c>
      <c r="AI188" t="n">
        <v>5</v>
      </c>
      <c r="AJ188" t="n">
        <v>0</v>
      </c>
      <c r="AK188" t="n">
        <v>7</v>
      </c>
      <c r="AL188" t="n">
        <v>0</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HYPERLINK("https://creighton-primo.hosted.exlibrisgroup.com/primo-explore/search?tab=default_tab&amp;search_scope=EVERYTHING&amp;vid=01CRU&amp;lang=en_US&amp;offset=0&amp;query=any,contains,991000389629702656","Catalog Record")</f>
        <v/>
      </c>
      <c r="AT188">
        <f>HYPERLINK("http://www.worldcat.org/oclc/10535516","WorldCat Record")</f>
        <v/>
      </c>
      <c r="AU188" t="inlineStr">
        <is>
          <t>3372449251:eng</t>
        </is>
      </c>
      <c r="AV188" t="inlineStr">
        <is>
          <t>10535516</t>
        </is>
      </c>
      <c r="AW188" t="inlineStr">
        <is>
          <t>991000389629702656</t>
        </is>
      </c>
      <c r="AX188" t="inlineStr">
        <is>
          <t>991000389629702656</t>
        </is>
      </c>
      <c r="AY188" t="inlineStr">
        <is>
          <t>2258880340002656</t>
        </is>
      </c>
      <c r="AZ188" t="inlineStr">
        <is>
          <t>BOOK</t>
        </is>
      </c>
      <c r="BB188" t="inlineStr">
        <is>
          <t>9780847805082</t>
        </is>
      </c>
      <c r="BC188" t="inlineStr">
        <is>
          <t>32285000121391</t>
        </is>
      </c>
      <c r="BD188" t="inlineStr">
        <is>
          <t>893683360</t>
        </is>
      </c>
    </row>
    <row r="189">
      <c r="A189" t="inlineStr">
        <is>
          <t>No</t>
        </is>
      </c>
      <c r="B189" t="inlineStr">
        <is>
          <t>NA642 .H6413</t>
        </is>
      </c>
      <c r="C189" t="inlineStr">
        <is>
          <t>0                      NA 0642000H  6413</t>
        </is>
      </c>
      <c r="D189" t="inlineStr">
        <is>
          <t>Modern architecture in color / [by] Werner Hofmann and Udo Kultermann. [Translated from the German by Peter Usborne]</t>
        </is>
      </c>
      <c r="F189" t="inlineStr">
        <is>
          <t>No</t>
        </is>
      </c>
      <c r="G189" t="inlineStr">
        <is>
          <t>1</t>
        </is>
      </c>
      <c r="H189" t="inlineStr">
        <is>
          <t>No</t>
        </is>
      </c>
      <c r="I189" t="inlineStr">
        <is>
          <t>No</t>
        </is>
      </c>
      <c r="J189" t="inlineStr">
        <is>
          <t>0</t>
        </is>
      </c>
      <c r="K189" t="inlineStr">
        <is>
          <t>Hofmann, Werner, 1928-2013.</t>
        </is>
      </c>
      <c r="L189" t="inlineStr">
        <is>
          <t>New York : Viking Press, [1970]</t>
        </is>
      </c>
      <c r="M189" t="inlineStr">
        <is>
          <t>1970</t>
        </is>
      </c>
      <c r="O189" t="inlineStr">
        <is>
          <t>eng</t>
        </is>
      </c>
      <c r="P189" t="inlineStr">
        <is>
          <t>nyu</t>
        </is>
      </c>
      <c r="Q189" t="inlineStr">
        <is>
          <t>A Studio book</t>
        </is>
      </c>
      <c r="R189" t="inlineStr">
        <is>
          <t xml:space="preserve">NA </t>
        </is>
      </c>
      <c r="S189" t="n">
        <v>1</v>
      </c>
      <c r="T189" t="n">
        <v>1</v>
      </c>
      <c r="U189" t="inlineStr">
        <is>
          <t>1998-04-30</t>
        </is>
      </c>
      <c r="V189" t="inlineStr">
        <is>
          <t>1998-04-30</t>
        </is>
      </c>
      <c r="W189" t="inlineStr">
        <is>
          <t>1992-05-01</t>
        </is>
      </c>
      <c r="X189" t="inlineStr">
        <is>
          <t>1992-05-01</t>
        </is>
      </c>
      <c r="Y189" t="n">
        <v>349</v>
      </c>
      <c r="Z189" t="n">
        <v>335</v>
      </c>
      <c r="AA189" t="n">
        <v>355</v>
      </c>
      <c r="AB189" t="n">
        <v>3</v>
      </c>
      <c r="AC189" t="n">
        <v>3</v>
      </c>
      <c r="AD189" t="n">
        <v>10</v>
      </c>
      <c r="AE189" t="n">
        <v>11</v>
      </c>
      <c r="AF189" t="n">
        <v>2</v>
      </c>
      <c r="AG189" t="n">
        <v>2</v>
      </c>
      <c r="AH189" t="n">
        <v>2</v>
      </c>
      <c r="AI189" t="n">
        <v>3</v>
      </c>
      <c r="AJ189" t="n">
        <v>4</v>
      </c>
      <c r="AK189" t="n">
        <v>5</v>
      </c>
      <c r="AL189" t="n">
        <v>2</v>
      </c>
      <c r="AM189" t="n">
        <v>2</v>
      </c>
      <c r="AN189" t="n">
        <v>0</v>
      </c>
      <c r="AO189" t="n">
        <v>0</v>
      </c>
      <c r="AP189" t="inlineStr">
        <is>
          <t>No</t>
        </is>
      </c>
      <c r="AQ189" t="inlineStr">
        <is>
          <t>Yes</t>
        </is>
      </c>
      <c r="AR189">
        <f>HYPERLINK("http://catalog.hathitrust.org/Record/000410898","HathiTrust Record")</f>
        <v/>
      </c>
      <c r="AS189">
        <f>HYPERLINK("https://creighton-primo.hosted.exlibrisgroup.com/primo-explore/search?tab=default_tab&amp;search_scope=EVERYTHING&amp;vid=01CRU&amp;lang=en_US&amp;offset=0&amp;query=any,contains,991000667119702656","Catalog Record")</f>
        <v/>
      </c>
      <c r="AT189">
        <f>HYPERLINK("http://www.worldcat.org/oclc/118663","WorldCat Record")</f>
        <v/>
      </c>
      <c r="AU189" t="inlineStr">
        <is>
          <t>1238129:eng</t>
        </is>
      </c>
      <c r="AV189" t="inlineStr">
        <is>
          <t>118663</t>
        </is>
      </c>
      <c r="AW189" t="inlineStr">
        <is>
          <t>991000667119702656</t>
        </is>
      </c>
      <c r="AX189" t="inlineStr">
        <is>
          <t>991000667119702656</t>
        </is>
      </c>
      <c r="AY189" t="inlineStr">
        <is>
          <t>2261651460002656</t>
        </is>
      </c>
      <c r="AZ189" t="inlineStr">
        <is>
          <t>BOOK</t>
        </is>
      </c>
      <c r="BB189" t="inlineStr">
        <is>
          <t>9780670482658</t>
        </is>
      </c>
      <c r="BC189" t="inlineStr">
        <is>
          <t>32285001091114</t>
        </is>
      </c>
      <c r="BD189" t="inlineStr">
        <is>
          <t>893243465</t>
        </is>
      </c>
    </row>
    <row r="190">
      <c r="A190" t="inlineStr">
        <is>
          <t>No</t>
        </is>
      </c>
      <c r="B190" t="inlineStr">
        <is>
          <t>NA645 .G5 1967</t>
        </is>
      </c>
      <c r="C190" t="inlineStr">
        <is>
          <t>0                      NA 0645000G  5           1967</t>
        </is>
      </c>
      <c r="D190" t="inlineStr">
        <is>
          <t>Romanticism and the Gothic revival / by Agnes Addison.</t>
        </is>
      </c>
      <c r="F190" t="inlineStr">
        <is>
          <t>No</t>
        </is>
      </c>
      <c r="G190" t="inlineStr">
        <is>
          <t>1</t>
        </is>
      </c>
      <c r="H190" t="inlineStr">
        <is>
          <t>No</t>
        </is>
      </c>
      <c r="I190" t="inlineStr">
        <is>
          <t>No</t>
        </is>
      </c>
      <c r="J190" t="inlineStr">
        <is>
          <t>0</t>
        </is>
      </c>
      <c r="K190" t="inlineStr">
        <is>
          <t>Gilchrist, Agnes Addison, 1907-1976.</t>
        </is>
      </c>
      <c r="L190" t="inlineStr">
        <is>
          <t>New York : Gordian Press, 1967, [c1938]</t>
        </is>
      </c>
      <c r="M190" t="inlineStr">
        <is>
          <t>1967</t>
        </is>
      </c>
      <c r="O190" t="inlineStr">
        <is>
          <t>eng</t>
        </is>
      </c>
      <c r="P190" t="inlineStr">
        <is>
          <t>nyu</t>
        </is>
      </c>
      <c r="R190" t="inlineStr">
        <is>
          <t xml:space="preserve">NA </t>
        </is>
      </c>
      <c r="S190" t="n">
        <v>4</v>
      </c>
      <c r="T190" t="n">
        <v>4</v>
      </c>
      <c r="U190" t="inlineStr">
        <is>
          <t>1999-02-20</t>
        </is>
      </c>
      <c r="V190" t="inlineStr">
        <is>
          <t>1999-02-20</t>
        </is>
      </c>
      <c r="W190" t="inlineStr">
        <is>
          <t>1993-03-09</t>
        </is>
      </c>
      <c r="X190" t="inlineStr">
        <is>
          <t>1993-03-09</t>
        </is>
      </c>
      <c r="Y190" t="n">
        <v>502</v>
      </c>
      <c r="Z190" t="n">
        <v>450</v>
      </c>
      <c r="AA190" t="n">
        <v>611</v>
      </c>
      <c r="AB190" t="n">
        <v>5</v>
      </c>
      <c r="AC190" t="n">
        <v>5</v>
      </c>
      <c r="AD190" t="n">
        <v>26</v>
      </c>
      <c r="AE190" t="n">
        <v>29</v>
      </c>
      <c r="AF190" t="n">
        <v>9</v>
      </c>
      <c r="AG190" t="n">
        <v>11</v>
      </c>
      <c r="AH190" t="n">
        <v>4</v>
      </c>
      <c r="AI190" t="n">
        <v>5</v>
      </c>
      <c r="AJ190" t="n">
        <v>13</v>
      </c>
      <c r="AK190" t="n">
        <v>16</v>
      </c>
      <c r="AL190" t="n">
        <v>4</v>
      </c>
      <c r="AM190" t="n">
        <v>4</v>
      </c>
      <c r="AN190" t="n">
        <v>0</v>
      </c>
      <c r="AO190" t="n">
        <v>0</v>
      </c>
      <c r="AP190" t="inlineStr">
        <is>
          <t>No</t>
        </is>
      </c>
      <c r="AQ190" t="inlineStr">
        <is>
          <t>Yes</t>
        </is>
      </c>
      <c r="AR190">
        <f>HYPERLINK("http://catalog.hathitrust.org/Record/007473597","HathiTrust Record")</f>
        <v/>
      </c>
      <c r="AS190">
        <f>HYPERLINK("https://creighton-primo.hosted.exlibrisgroup.com/primo-explore/search?tab=default_tab&amp;search_scope=EVERYTHING&amp;vid=01CRU&amp;lang=en_US&amp;offset=0&amp;query=any,contains,991002391709702656","Catalog Record")</f>
        <v/>
      </c>
      <c r="AT190">
        <f>HYPERLINK("http://www.worldcat.org/oclc/332781","WorldCat Record")</f>
        <v/>
      </c>
      <c r="AU190" t="inlineStr">
        <is>
          <t>536157:eng</t>
        </is>
      </c>
      <c r="AV190" t="inlineStr">
        <is>
          <t>332781</t>
        </is>
      </c>
      <c r="AW190" t="inlineStr">
        <is>
          <t>991002391709702656</t>
        </is>
      </c>
      <c r="AX190" t="inlineStr">
        <is>
          <t>991002391709702656</t>
        </is>
      </c>
      <c r="AY190" t="inlineStr">
        <is>
          <t>2257765550002656</t>
        </is>
      </c>
      <c r="AZ190" t="inlineStr">
        <is>
          <t>BOOK</t>
        </is>
      </c>
      <c r="BC190" t="inlineStr">
        <is>
          <t>32285001571339</t>
        </is>
      </c>
      <c r="BD190" t="inlineStr">
        <is>
          <t>893779754</t>
        </is>
      </c>
    </row>
    <row r="191">
      <c r="A191" t="inlineStr">
        <is>
          <t>No</t>
        </is>
      </c>
      <c r="B191" t="inlineStr">
        <is>
          <t>NA645 .S9</t>
        </is>
      </c>
      <c r="C191" t="inlineStr">
        <is>
          <t>0                      NA 0645000S  9</t>
        </is>
      </c>
      <c r="D191" t="inlineStr">
        <is>
          <t>Victorian architecture : four studies in evaluation / by John Summerson.</t>
        </is>
      </c>
      <c r="F191" t="inlineStr">
        <is>
          <t>No</t>
        </is>
      </c>
      <c r="G191" t="inlineStr">
        <is>
          <t>1</t>
        </is>
      </c>
      <c r="H191" t="inlineStr">
        <is>
          <t>No</t>
        </is>
      </c>
      <c r="I191" t="inlineStr">
        <is>
          <t>No</t>
        </is>
      </c>
      <c r="J191" t="inlineStr">
        <is>
          <t>0</t>
        </is>
      </c>
      <c r="K191" t="inlineStr">
        <is>
          <t>Summerson, John, 1904-1992.</t>
        </is>
      </c>
      <c r="L191" t="inlineStr">
        <is>
          <t>New York : Columbia University Press, 1970.</t>
        </is>
      </c>
      <c r="M191" t="inlineStr">
        <is>
          <t>1970</t>
        </is>
      </c>
      <c r="O191" t="inlineStr">
        <is>
          <t>eng</t>
        </is>
      </c>
      <c r="P191" t="inlineStr">
        <is>
          <t>nyu</t>
        </is>
      </c>
      <c r="Q191" t="inlineStr">
        <is>
          <t>Bampton lectures in America ; no. 19</t>
        </is>
      </c>
      <c r="R191" t="inlineStr">
        <is>
          <t xml:space="preserve">NA </t>
        </is>
      </c>
      <c r="S191" t="n">
        <v>6</v>
      </c>
      <c r="T191" t="n">
        <v>6</v>
      </c>
      <c r="U191" t="inlineStr">
        <is>
          <t>1997-07-23</t>
        </is>
      </c>
      <c r="V191" t="inlineStr">
        <is>
          <t>1997-07-23</t>
        </is>
      </c>
      <c r="W191" t="inlineStr">
        <is>
          <t>1994-06-22</t>
        </is>
      </c>
      <c r="X191" t="inlineStr">
        <is>
          <t>1994-06-22</t>
        </is>
      </c>
      <c r="Y191" t="n">
        <v>784</v>
      </c>
      <c r="Z191" t="n">
        <v>617</v>
      </c>
      <c r="AA191" t="n">
        <v>622</v>
      </c>
      <c r="AB191" t="n">
        <v>2</v>
      </c>
      <c r="AC191" t="n">
        <v>2</v>
      </c>
      <c r="AD191" t="n">
        <v>24</v>
      </c>
      <c r="AE191" t="n">
        <v>24</v>
      </c>
      <c r="AF191" t="n">
        <v>10</v>
      </c>
      <c r="AG191" t="n">
        <v>10</v>
      </c>
      <c r="AH191" t="n">
        <v>7</v>
      </c>
      <c r="AI191" t="n">
        <v>7</v>
      </c>
      <c r="AJ191" t="n">
        <v>13</v>
      </c>
      <c r="AK191" t="n">
        <v>13</v>
      </c>
      <c r="AL191" t="n">
        <v>1</v>
      </c>
      <c r="AM191" t="n">
        <v>1</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HYPERLINK("https://creighton-primo.hosted.exlibrisgroup.com/primo-explore/search?tab=default_tab&amp;search_scope=EVERYTHING&amp;vid=01CRU&amp;lang=en_US&amp;offset=0&amp;query=any,contains,991000159589702656","Catalog Record")</f>
        <v/>
      </c>
      <c r="AT191">
        <f>HYPERLINK("http://www.worldcat.org/oclc/61198","WorldCat Record")</f>
        <v/>
      </c>
      <c r="AU191" t="inlineStr">
        <is>
          <t>808785414:eng</t>
        </is>
      </c>
      <c r="AV191" t="inlineStr">
        <is>
          <t>61198</t>
        </is>
      </c>
      <c r="AW191" t="inlineStr">
        <is>
          <t>991000159589702656</t>
        </is>
      </c>
      <c r="AX191" t="inlineStr">
        <is>
          <t>991000159589702656</t>
        </is>
      </c>
      <c r="AY191" t="inlineStr">
        <is>
          <t>2256699130002656</t>
        </is>
      </c>
      <c r="AZ191" t="inlineStr">
        <is>
          <t>BOOK</t>
        </is>
      </c>
      <c r="BB191" t="inlineStr">
        <is>
          <t>9780231032612</t>
        </is>
      </c>
      <c r="BC191" t="inlineStr">
        <is>
          <t>32285001929446</t>
        </is>
      </c>
      <c r="BD191" t="inlineStr">
        <is>
          <t>893890467</t>
        </is>
      </c>
    </row>
    <row r="192">
      <c r="A192" t="inlineStr">
        <is>
          <t>No</t>
        </is>
      </c>
      <c r="B192" t="inlineStr">
        <is>
          <t>NA6700.A1 S4 1982</t>
        </is>
      </c>
      <c r="C192" t="inlineStr">
        <is>
          <t>0                      NA 6700000A  1                  S  4           1982</t>
        </is>
      </c>
      <c r="D192" t="inlineStr">
        <is>
          <t>New American art museums / Helen Searing.</t>
        </is>
      </c>
      <c r="F192" t="inlineStr">
        <is>
          <t>No</t>
        </is>
      </c>
      <c r="G192" t="inlineStr">
        <is>
          <t>1</t>
        </is>
      </c>
      <c r="H192" t="inlineStr">
        <is>
          <t>No</t>
        </is>
      </c>
      <c r="I192" t="inlineStr">
        <is>
          <t>No</t>
        </is>
      </c>
      <c r="J192" t="inlineStr">
        <is>
          <t>0</t>
        </is>
      </c>
      <c r="K192" t="inlineStr">
        <is>
          <t>Searing, Helen.</t>
        </is>
      </c>
      <c r="L192" t="inlineStr">
        <is>
          <t>New York : Whitney Museum of American Art ; Berkeley : University of California Press, c1982.</t>
        </is>
      </c>
      <c r="M192" t="inlineStr">
        <is>
          <t>1982</t>
        </is>
      </c>
      <c r="O192" t="inlineStr">
        <is>
          <t>eng</t>
        </is>
      </c>
      <c r="P192" t="inlineStr">
        <is>
          <t>nyu</t>
        </is>
      </c>
      <c r="R192" t="inlineStr">
        <is>
          <t xml:space="preserve">NA </t>
        </is>
      </c>
      <c r="S192" t="n">
        <v>2</v>
      </c>
      <c r="T192" t="n">
        <v>2</v>
      </c>
      <c r="U192" t="inlineStr">
        <is>
          <t>2003-04-02</t>
        </is>
      </c>
      <c r="V192" t="inlineStr">
        <is>
          <t>2003-04-02</t>
        </is>
      </c>
      <c r="W192" t="inlineStr">
        <is>
          <t>1993-05-14</t>
        </is>
      </c>
      <c r="X192" t="inlineStr">
        <is>
          <t>1993-05-14</t>
        </is>
      </c>
      <c r="Y192" t="n">
        <v>574</v>
      </c>
      <c r="Z192" t="n">
        <v>449</v>
      </c>
      <c r="AA192" t="n">
        <v>452</v>
      </c>
      <c r="AB192" t="n">
        <v>3</v>
      </c>
      <c r="AC192" t="n">
        <v>3</v>
      </c>
      <c r="AD192" t="n">
        <v>13</v>
      </c>
      <c r="AE192" t="n">
        <v>13</v>
      </c>
      <c r="AF192" t="n">
        <v>3</v>
      </c>
      <c r="AG192" t="n">
        <v>3</v>
      </c>
      <c r="AH192" t="n">
        <v>3</v>
      </c>
      <c r="AI192" t="n">
        <v>3</v>
      </c>
      <c r="AJ192" t="n">
        <v>8</v>
      </c>
      <c r="AK192" t="n">
        <v>8</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HYPERLINK("https://creighton-primo.hosted.exlibrisgroup.com/primo-explore/search?tab=default_tab&amp;search_scope=EVERYTHING&amp;vid=01CRU&amp;lang=en_US&amp;offset=0&amp;query=any,contains,991000059349702656","Catalog Record")</f>
        <v/>
      </c>
      <c r="AT192">
        <f>HYPERLINK("http://www.worldcat.org/oclc/8727526","WorldCat Record")</f>
        <v/>
      </c>
      <c r="AU192" t="inlineStr">
        <is>
          <t>34826451:eng</t>
        </is>
      </c>
      <c r="AV192" t="inlineStr">
        <is>
          <t>8727526</t>
        </is>
      </c>
      <c r="AW192" t="inlineStr">
        <is>
          <t>991000059349702656</t>
        </is>
      </c>
      <c r="AX192" t="inlineStr">
        <is>
          <t>991000059349702656</t>
        </is>
      </c>
      <c r="AY192" t="inlineStr">
        <is>
          <t>2272632910002656</t>
        </is>
      </c>
      <c r="AZ192" t="inlineStr">
        <is>
          <t>BOOK</t>
        </is>
      </c>
      <c r="BB192" t="inlineStr">
        <is>
          <t>9780520048959</t>
        </is>
      </c>
      <c r="BC192" t="inlineStr">
        <is>
          <t>32285001658128</t>
        </is>
      </c>
      <c r="BD192" t="inlineStr">
        <is>
          <t>893595232</t>
        </is>
      </c>
    </row>
    <row r="193">
      <c r="A193" t="inlineStr">
        <is>
          <t>No</t>
        </is>
      </c>
      <c r="B193" t="inlineStr">
        <is>
          <t>NA6750.L6 C73</t>
        </is>
      </c>
      <c r="C193" t="inlineStr">
        <is>
          <t>0                      NA 6750000L  6                  C  73</t>
        </is>
      </c>
      <c r="D193" t="inlineStr">
        <is>
          <t>The Crystal Palace, 1851-1936: a portrait of Victorian enterprise.</t>
        </is>
      </c>
      <c r="F193" t="inlineStr">
        <is>
          <t>No</t>
        </is>
      </c>
      <c r="G193" t="inlineStr">
        <is>
          <t>1</t>
        </is>
      </c>
      <c r="H193" t="inlineStr">
        <is>
          <t>No</t>
        </is>
      </c>
      <c r="I193" t="inlineStr">
        <is>
          <t>No</t>
        </is>
      </c>
      <c r="J193" t="inlineStr">
        <is>
          <t>0</t>
        </is>
      </c>
      <c r="K193" t="inlineStr">
        <is>
          <t>Beaver, Patrick.</t>
        </is>
      </c>
      <c r="L193" t="inlineStr">
        <is>
          <t>London, Hugh Evelyn Ltd., 1970.</t>
        </is>
      </c>
      <c r="M193" t="inlineStr">
        <is>
          <t>1970</t>
        </is>
      </c>
      <c r="O193" t="inlineStr">
        <is>
          <t>eng</t>
        </is>
      </c>
      <c r="P193" t="inlineStr">
        <is>
          <t>enk</t>
        </is>
      </c>
      <c r="R193" t="inlineStr">
        <is>
          <t xml:space="preserve">NA </t>
        </is>
      </c>
      <c r="S193" t="n">
        <v>1</v>
      </c>
      <c r="T193" t="n">
        <v>1</v>
      </c>
      <c r="U193" t="inlineStr">
        <is>
          <t>2009-09-29</t>
        </is>
      </c>
      <c r="V193" t="inlineStr">
        <is>
          <t>2009-09-29</t>
        </is>
      </c>
      <c r="W193" t="inlineStr">
        <is>
          <t>1997-07-02</t>
        </is>
      </c>
      <c r="X193" t="inlineStr">
        <is>
          <t>1997-07-02</t>
        </is>
      </c>
      <c r="Y193" t="n">
        <v>351</v>
      </c>
      <c r="Z193" t="n">
        <v>192</v>
      </c>
      <c r="AA193" t="n">
        <v>222</v>
      </c>
      <c r="AB193" t="n">
        <v>2</v>
      </c>
      <c r="AC193" t="n">
        <v>2</v>
      </c>
      <c r="AD193" t="n">
        <v>5</v>
      </c>
      <c r="AE193" t="n">
        <v>6</v>
      </c>
      <c r="AF193" t="n">
        <v>0</v>
      </c>
      <c r="AG193" t="n">
        <v>1</v>
      </c>
      <c r="AH193" t="n">
        <v>2</v>
      </c>
      <c r="AI193" t="n">
        <v>2</v>
      </c>
      <c r="AJ193" t="n">
        <v>2</v>
      </c>
      <c r="AK193" t="n">
        <v>2</v>
      </c>
      <c r="AL193" t="n">
        <v>1</v>
      </c>
      <c r="AM193" t="n">
        <v>1</v>
      </c>
      <c r="AN193" t="n">
        <v>0</v>
      </c>
      <c r="AO193" t="n">
        <v>0</v>
      </c>
      <c r="AP193" t="inlineStr">
        <is>
          <t>No</t>
        </is>
      </c>
      <c r="AQ193" t="inlineStr">
        <is>
          <t>Yes</t>
        </is>
      </c>
      <c r="AR193">
        <f>HYPERLINK("http://catalog.hathitrust.org/Record/000001680","HathiTrust Record")</f>
        <v/>
      </c>
      <c r="AS193">
        <f>HYPERLINK("https://creighton-primo.hosted.exlibrisgroup.com/primo-explore/search?tab=default_tab&amp;search_scope=EVERYTHING&amp;vid=01CRU&amp;lang=en_US&amp;offset=0&amp;query=any,contains,991000672379702656","Catalog Record")</f>
        <v/>
      </c>
      <c r="AT193">
        <f>HYPERLINK("http://www.worldcat.org/oclc/119241","WorldCat Record")</f>
        <v/>
      </c>
      <c r="AU193" t="inlineStr">
        <is>
          <t>291179912:eng</t>
        </is>
      </c>
      <c r="AV193" t="inlineStr">
        <is>
          <t>119241</t>
        </is>
      </c>
      <c r="AW193" t="inlineStr">
        <is>
          <t>991000672379702656</t>
        </is>
      </c>
      <c r="AX193" t="inlineStr">
        <is>
          <t>991000672379702656</t>
        </is>
      </c>
      <c r="AY193" t="inlineStr">
        <is>
          <t>2264204930002656</t>
        </is>
      </c>
      <c r="AZ193" t="inlineStr">
        <is>
          <t>BOOK</t>
        </is>
      </c>
      <c r="BB193" t="inlineStr">
        <is>
          <t>9780238789618</t>
        </is>
      </c>
      <c r="BC193" t="inlineStr">
        <is>
          <t>32285002862950</t>
        </is>
      </c>
      <c r="BD193" t="inlineStr">
        <is>
          <t>893255629</t>
        </is>
      </c>
    </row>
    <row r="194">
      <c r="A194" t="inlineStr">
        <is>
          <t>No</t>
        </is>
      </c>
      <c r="B194" t="inlineStr">
        <is>
          <t>NA680 .B48 1975</t>
        </is>
      </c>
      <c r="C194" t="inlineStr">
        <is>
          <t>0                      NA 0680000B  48          1975</t>
        </is>
      </c>
      <c r="D194" t="inlineStr">
        <is>
          <t>Architecture and design, 1890-1939 : an international anthology of original articles / edited by Tim and Charlotte Benton, with Dennis Sharp.</t>
        </is>
      </c>
      <c r="F194" t="inlineStr">
        <is>
          <t>No</t>
        </is>
      </c>
      <c r="G194" t="inlineStr">
        <is>
          <t>1</t>
        </is>
      </c>
      <c r="H194" t="inlineStr">
        <is>
          <t>No</t>
        </is>
      </c>
      <c r="I194" t="inlineStr">
        <is>
          <t>No</t>
        </is>
      </c>
      <c r="J194" t="inlineStr">
        <is>
          <t>0</t>
        </is>
      </c>
      <c r="K194" t="inlineStr">
        <is>
          <t>Benton, Tim, 1945-</t>
        </is>
      </c>
      <c r="L194" t="inlineStr">
        <is>
          <t>New York : Whitney Library of Design, 1975.</t>
        </is>
      </c>
      <c r="M194" t="inlineStr">
        <is>
          <t>1975</t>
        </is>
      </c>
      <c r="O194" t="inlineStr">
        <is>
          <t>eng</t>
        </is>
      </c>
      <c r="P194" t="inlineStr">
        <is>
          <t>nyu</t>
        </is>
      </c>
      <c r="R194" t="inlineStr">
        <is>
          <t xml:space="preserve">NA </t>
        </is>
      </c>
      <c r="S194" t="n">
        <v>5</v>
      </c>
      <c r="T194" t="n">
        <v>5</v>
      </c>
      <c r="U194" t="inlineStr">
        <is>
          <t>1996-02-05</t>
        </is>
      </c>
      <c r="V194" t="inlineStr">
        <is>
          <t>1996-02-05</t>
        </is>
      </c>
      <c r="W194" t="inlineStr">
        <is>
          <t>1993-01-08</t>
        </is>
      </c>
      <c r="X194" t="inlineStr">
        <is>
          <t>1993-01-08</t>
        </is>
      </c>
      <c r="Y194" t="n">
        <v>313</v>
      </c>
      <c r="Z194" t="n">
        <v>276</v>
      </c>
      <c r="AA194" t="n">
        <v>279</v>
      </c>
      <c r="AB194" t="n">
        <v>2</v>
      </c>
      <c r="AC194" t="n">
        <v>2</v>
      </c>
      <c r="AD194" t="n">
        <v>6</v>
      </c>
      <c r="AE194" t="n">
        <v>6</v>
      </c>
      <c r="AF194" t="n">
        <v>3</v>
      </c>
      <c r="AG194" t="n">
        <v>3</v>
      </c>
      <c r="AH194" t="n">
        <v>0</v>
      </c>
      <c r="AI194" t="n">
        <v>0</v>
      </c>
      <c r="AJ194" t="n">
        <v>3</v>
      </c>
      <c r="AK194" t="n">
        <v>3</v>
      </c>
      <c r="AL194" t="n">
        <v>1</v>
      </c>
      <c r="AM194" t="n">
        <v>1</v>
      </c>
      <c r="AN194" t="n">
        <v>0</v>
      </c>
      <c r="AO194" t="n">
        <v>0</v>
      </c>
      <c r="AP194" t="inlineStr">
        <is>
          <t>No</t>
        </is>
      </c>
      <c r="AQ194" t="inlineStr">
        <is>
          <t>Yes</t>
        </is>
      </c>
      <c r="AR194">
        <f>HYPERLINK("http://catalog.hathitrust.org/Record/000033835","HathiTrust Record")</f>
        <v/>
      </c>
      <c r="AS194">
        <f>HYPERLINK("https://creighton-primo.hosted.exlibrisgroup.com/primo-explore/search?tab=default_tab&amp;search_scope=EVERYTHING&amp;vid=01CRU&amp;lang=en_US&amp;offset=0&amp;query=any,contains,991003551559702656","Catalog Record")</f>
        <v/>
      </c>
      <c r="AT194">
        <f>HYPERLINK("http://www.worldcat.org/oclc/1119698","WorldCat Record")</f>
        <v/>
      </c>
      <c r="AU194" t="inlineStr">
        <is>
          <t>25095536:eng</t>
        </is>
      </c>
      <c r="AV194" t="inlineStr">
        <is>
          <t>1119698</t>
        </is>
      </c>
      <c r="AW194" t="inlineStr">
        <is>
          <t>991003551559702656</t>
        </is>
      </c>
      <c r="AX194" t="inlineStr">
        <is>
          <t>991003551559702656</t>
        </is>
      </c>
      <c r="AY194" t="inlineStr">
        <is>
          <t>2255729660002656</t>
        </is>
      </c>
      <c r="AZ194" t="inlineStr">
        <is>
          <t>BOOK</t>
        </is>
      </c>
      <c r="BB194" t="inlineStr">
        <is>
          <t>9780823070459</t>
        </is>
      </c>
      <c r="BC194" t="inlineStr">
        <is>
          <t>32285001474179</t>
        </is>
      </c>
      <c r="BD194" t="inlineStr">
        <is>
          <t>893868552</t>
        </is>
      </c>
    </row>
    <row r="195">
      <c r="A195" t="inlineStr">
        <is>
          <t>No</t>
        </is>
      </c>
      <c r="B195" t="inlineStr">
        <is>
          <t>NA680 .C6213 1975</t>
        </is>
      </c>
      <c r="C195" t="inlineStr">
        <is>
          <t>0                      NA 0680000C  6213        1975</t>
        </is>
      </c>
      <c r="D195" t="inlineStr">
        <is>
          <t>Programs and manifestoes on 20th-century architecture / Translated by Michael Bullock.</t>
        </is>
      </c>
      <c r="F195" t="inlineStr">
        <is>
          <t>No</t>
        </is>
      </c>
      <c r="G195" t="inlineStr">
        <is>
          <t>1</t>
        </is>
      </c>
      <c r="H195" t="inlineStr">
        <is>
          <t>No</t>
        </is>
      </c>
      <c r="I195" t="inlineStr">
        <is>
          <t>No</t>
        </is>
      </c>
      <c r="J195" t="inlineStr">
        <is>
          <t>0</t>
        </is>
      </c>
      <c r="K195" t="inlineStr">
        <is>
          <t>Conrads, Ulrich compiler.</t>
        </is>
      </c>
      <c r="L195" t="inlineStr">
        <is>
          <t>Cambridge, Mass. : MIT Press, 1975, c1970, 1982 printing.</t>
        </is>
      </c>
      <c r="M195" t="inlineStr">
        <is>
          <t>1975</t>
        </is>
      </c>
      <c r="O195" t="inlineStr">
        <is>
          <t>eng</t>
        </is>
      </c>
      <c r="P195" t="inlineStr">
        <is>
          <t>mau</t>
        </is>
      </c>
      <c r="R195" t="inlineStr">
        <is>
          <t xml:space="preserve">NA </t>
        </is>
      </c>
      <c r="S195" t="n">
        <v>2</v>
      </c>
      <c r="T195" t="n">
        <v>2</v>
      </c>
      <c r="U195" t="inlineStr">
        <is>
          <t>1999-06-25</t>
        </is>
      </c>
      <c r="V195" t="inlineStr">
        <is>
          <t>1999-06-25</t>
        </is>
      </c>
      <c r="W195" t="inlineStr">
        <is>
          <t>1993-05-13</t>
        </is>
      </c>
      <c r="X195" t="inlineStr">
        <is>
          <t>1993-05-13</t>
        </is>
      </c>
      <c r="Y195" t="n">
        <v>51</v>
      </c>
      <c r="Z195" t="n">
        <v>37</v>
      </c>
      <c r="AA195" t="n">
        <v>582</v>
      </c>
      <c r="AB195" t="n">
        <v>1</v>
      </c>
      <c r="AC195" t="n">
        <v>3</v>
      </c>
      <c r="AD195" t="n">
        <v>1</v>
      </c>
      <c r="AE195" t="n">
        <v>20</v>
      </c>
      <c r="AF195" t="n">
        <v>0</v>
      </c>
      <c r="AG195" t="n">
        <v>7</v>
      </c>
      <c r="AH195" t="n">
        <v>0</v>
      </c>
      <c r="AI195" t="n">
        <v>4</v>
      </c>
      <c r="AJ195" t="n">
        <v>1</v>
      </c>
      <c r="AK195" t="n">
        <v>11</v>
      </c>
      <c r="AL195" t="n">
        <v>0</v>
      </c>
      <c r="AM195" t="n">
        <v>2</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HYPERLINK("https://creighton-primo.hosted.exlibrisgroup.com/primo-explore/search?tab=default_tab&amp;search_scope=EVERYTHING&amp;vid=01CRU&amp;lang=en_US&amp;offset=0&amp;query=any,contains,991004768899702656","Catalog Record")</f>
        <v/>
      </c>
      <c r="AT195">
        <f>HYPERLINK("http://www.worldcat.org/oclc/5046861","WorldCat Record")</f>
        <v/>
      </c>
      <c r="AU195" t="inlineStr">
        <is>
          <t>4820874707:eng</t>
        </is>
      </c>
      <c r="AV195" t="inlineStr">
        <is>
          <t>5046861</t>
        </is>
      </c>
      <c r="AW195" t="inlineStr">
        <is>
          <t>991004768899702656</t>
        </is>
      </c>
      <c r="AX195" t="inlineStr">
        <is>
          <t>991004768899702656</t>
        </is>
      </c>
      <c r="AY195" t="inlineStr">
        <is>
          <t>2257382120002656</t>
        </is>
      </c>
      <c r="AZ195" t="inlineStr">
        <is>
          <t>BOOK</t>
        </is>
      </c>
      <c r="BB195" t="inlineStr">
        <is>
          <t>9780262530309</t>
        </is>
      </c>
      <c r="BC195" t="inlineStr">
        <is>
          <t>32285001654358</t>
        </is>
      </c>
      <c r="BD195" t="inlineStr">
        <is>
          <t>893713011</t>
        </is>
      </c>
    </row>
    <row r="196">
      <c r="A196" t="inlineStr">
        <is>
          <t>No</t>
        </is>
      </c>
      <c r="B196" t="inlineStr">
        <is>
          <t>NA680 .D73</t>
        </is>
      </c>
      <c r="C196" t="inlineStr">
        <is>
          <t>0                      NA 0680000D  73</t>
        </is>
      </c>
      <c r="D196" t="inlineStr">
        <is>
          <t>Transformations in modern architecture / Arthur Drexler.</t>
        </is>
      </c>
      <c r="F196" t="inlineStr">
        <is>
          <t>No</t>
        </is>
      </c>
      <c r="G196" t="inlineStr">
        <is>
          <t>1</t>
        </is>
      </c>
      <c r="H196" t="inlineStr">
        <is>
          <t>No</t>
        </is>
      </c>
      <c r="I196" t="inlineStr">
        <is>
          <t>No</t>
        </is>
      </c>
      <c r="J196" t="inlineStr">
        <is>
          <t>0</t>
        </is>
      </c>
      <c r="K196" t="inlineStr">
        <is>
          <t>Drexler, Arthur.</t>
        </is>
      </c>
      <c r="L196" t="inlineStr">
        <is>
          <t>New York : Museum of Modern Art ; Boston : Distributed by New York Graphic Society, c1979, 1980 printing.</t>
        </is>
      </c>
      <c r="M196" t="inlineStr">
        <is>
          <t>1979</t>
        </is>
      </c>
      <c r="O196" t="inlineStr">
        <is>
          <t>eng</t>
        </is>
      </c>
      <c r="P196" t="inlineStr">
        <is>
          <t>nyu</t>
        </is>
      </c>
      <c r="R196" t="inlineStr">
        <is>
          <t xml:space="preserve">NA </t>
        </is>
      </c>
      <c r="S196" t="n">
        <v>11</v>
      </c>
      <c r="T196" t="n">
        <v>11</v>
      </c>
      <c r="U196" t="inlineStr">
        <is>
          <t>2005-10-10</t>
        </is>
      </c>
      <c r="V196" t="inlineStr">
        <is>
          <t>2005-10-10</t>
        </is>
      </c>
      <c r="W196" t="inlineStr">
        <is>
          <t>1993-01-07</t>
        </is>
      </c>
      <c r="X196" t="inlineStr">
        <is>
          <t>1993-01-07</t>
        </is>
      </c>
      <c r="Y196" t="n">
        <v>628</v>
      </c>
      <c r="Z196" t="n">
        <v>549</v>
      </c>
      <c r="AA196" t="n">
        <v>580</v>
      </c>
      <c r="AB196" t="n">
        <v>2</v>
      </c>
      <c r="AC196" t="n">
        <v>2</v>
      </c>
      <c r="AD196" t="n">
        <v>16</v>
      </c>
      <c r="AE196" t="n">
        <v>16</v>
      </c>
      <c r="AF196" t="n">
        <v>10</v>
      </c>
      <c r="AG196" t="n">
        <v>10</v>
      </c>
      <c r="AH196" t="n">
        <v>3</v>
      </c>
      <c r="AI196" t="n">
        <v>3</v>
      </c>
      <c r="AJ196" t="n">
        <v>7</v>
      </c>
      <c r="AK196" t="n">
        <v>7</v>
      </c>
      <c r="AL196" t="n">
        <v>1</v>
      </c>
      <c r="AM196" t="n">
        <v>1</v>
      </c>
      <c r="AN196" t="n">
        <v>0</v>
      </c>
      <c r="AO196" t="n">
        <v>0</v>
      </c>
      <c r="AP196" t="inlineStr">
        <is>
          <t>No</t>
        </is>
      </c>
      <c r="AQ196" t="inlineStr">
        <is>
          <t>Yes</t>
        </is>
      </c>
      <c r="AR196">
        <f>HYPERLINK("http://catalog.hathitrust.org/Record/000693866","HathiTrust Record")</f>
        <v/>
      </c>
      <c r="AS196">
        <f>HYPERLINK("https://creighton-primo.hosted.exlibrisgroup.com/primo-explore/search?tab=default_tab&amp;search_scope=EVERYTHING&amp;vid=01CRU&amp;lang=en_US&amp;offset=0&amp;query=any,contains,991004889499702656","Catalog Record")</f>
        <v/>
      </c>
      <c r="AT196">
        <f>HYPERLINK("http://www.worldcat.org/oclc/5858090","WorldCat Record")</f>
        <v/>
      </c>
      <c r="AU196" t="inlineStr">
        <is>
          <t>12800707:eng</t>
        </is>
      </c>
      <c r="AV196" t="inlineStr">
        <is>
          <t>5858090</t>
        </is>
      </c>
      <c r="AW196" t="inlineStr">
        <is>
          <t>991004889499702656</t>
        </is>
      </c>
      <c r="AX196" t="inlineStr">
        <is>
          <t>991004889499702656</t>
        </is>
      </c>
      <c r="AY196" t="inlineStr">
        <is>
          <t>2261292990002656</t>
        </is>
      </c>
      <c r="AZ196" t="inlineStr">
        <is>
          <t>BOOK</t>
        </is>
      </c>
      <c r="BB196" t="inlineStr">
        <is>
          <t>9780870706080</t>
        </is>
      </c>
      <c r="BC196" t="inlineStr">
        <is>
          <t>32285001474161</t>
        </is>
      </c>
      <c r="BD196" t="inlineStr">
        <is>
          <t>893507338</t>
        </is>
      </c>
    </row>
    <row r="197">
      <c r="A197" t="inlineStr">
        <is>
          <t>No</t>
        </is>
      </c>
      <c r="B197" t="inlineStr">
        <is>
          <t>NA680 .H3</t>
        </is>
      </c>
      <c r="C197" t="inlineStr">
        <is>
          <t>0                      NA 0680000H  3</t>
        </is>
      </c>
      <c r="D197" t="inlineStr">
        <is>
          <t>Forms and functions of twentieth-century architecture. With an introd. by Leopold Arnaud.</t>
        </is>
      </c>
      <c r="E197" t="inlineStr">
        <is>
          <t>V.3</t>
        </is>
      </c>
      <c r="F197" t="inlineStr">
        <is>
          <t>Yes</t>
        </is>
      </c>
      <c r="G197" t="inlineStr">
        <is>
          <t>1</t>
        </is>
      </c>
      <c r="H197" t="inlineStr">
        <is>
          <t>No</t>
        </is>
      </c>
      <c r="I197" t="inlineStr">
        <is>
          <t>No</t>
        </is>
      </c>
      <c r="J197" t="inlineStr">
        <is>
          <t>0</t>
        </is>
      </c>
      <c r="K197" t="inlineStr">
        <is>
          <t>Hamlin, Talbot, 1889-1956.</t>
        </is>
      </c>
      <c r="L197" t="inlineStr">
        <is>
          <t>New York, Columbia University Press, 1952.</t>
        </is>
      </c>
      <c r="M197" t="inlineStr">
        <is>
          <t>1952</t>
        </is>
      </c>
      <c r="O197" t="inlineStr">
        <is>
          <t>eng</t>
        </is>
      </c>
      <c r="P197" t="inlineStr">
        <is>
          <t>___</t>
        </is>
      </c>
      <c r="R197" t="inlineStr">
        <is>
          <t xml:space="preserve">NA </t>
        </is>
      </c>
      <c r="S197" t="n">
        <v>0</v>
      </c>
      <c r="T197" t="n">
        <v>2</v>
      </c>
      <c r="V197" t="inlineStr">
        <is>
          <t>2002-05-02</t>
        </is>
      </c>
      <c r="W197" t="inlineStr">
        <is>
          <t>1993-05-13</t>
        </is>
      </c>
      <c r="X197" t="inlineStr">
        <is>
          <t>1993-05-13</t>
        </is>
      </c>
      <c r="Y197" t="n">
        <v>753</v>
      </c>
      <c r="Z197" t="n">
        <v>661</v>
      </c>
      <c r="AA197" t="n">
        <v>663</v>
      </c>
      <c r="AB197" t="n">
        <v>5</v>
      </c>
      <c r="AC197" t="n">
        <v>5</v>
      </c>
      <c r="AD197" t="n">
        <v>24</v>
      </c>
      <c r="AE197" t="n">
        <v>24</v>
      </c>
      <c r="AF197" t="n">
        <v>9</v>
      </c>
      <c r="AG197" t="n">
        <v>9</v>
      </c>
      <c r="AH197" t="n">
        <v>4</v>
      </c>
      <c r="AI197" t="n">
        <v>4</v>
      </c>
      <c r="AJ197" t="n">
        <v>13</v>
      </c>
      <c r="AK197" t="n">
        <v>13</v>
      </c>
      <c r="AL197" t="n">
        <v>4</v>
      </c>
      <c r="AM197" t="n">
        <v>4</v>
      </c>
      <c r="AN197" t="n">
        <v>0</v>
      </c>
      <c r="AO197" t="n">
        <v>0</v>
      </c>
      <c r="AP197" t="inlineStr">
        <is>
          <t>No</t>
        </is>
      </c>
      <c r="AQ197" t="inlineStr">
        <is>
          <t>Yes</t>
        </is>
      </c>
      <c r="AR197">
        <f>HYPERLINK("http://catalog.hathitrust.org/Record/000410881","HathiTrust Record")</f>
        <v/>
      </c>
      <c r="AS197">
        <f>HYPERLINK("https://creighton-primo.hosted.exlibrisgroup.com/primo-explore/search?tab=default_tab&amp;search_scope=EVERYTHING&amp;vid=01CRU&amp;lang=en_US&amp;offset=0&amp;query=any,contains,991003478819702656","Catalog Record")</f>
        <v/>
      </c>
      <c r="AT197">
        <f>HYPERLINK("http://www.worldcat.org/oclc/1024618","WorldCat Record")</f>
        <v/>
      </c>
      <c r="AU197" t="inlineStr">
        <is>
          <t>5608672489:eng</t>
        </is>
      </c>
      <c r="AV197" t="inlineStr">
        <is>
          <t>1024618</t>
        </is>
      </c>
      <c r="AW197" t="inlineStr">
        <is>
          <t>991003478819702656</t>
        </is>
      </c>
      <c r="AX197" t="inlineStr">
        <is>
          <t>991003478819702656</t>
        </is>
      </c>
      <c r="AY197" t="inlineStr">
        <is>
          <t>2269737020002656</t>
        </is>
      </c>
      <c r="AZ197" t="inlineStr">
        <is>
          <t>BOOK</t>
        </is>
      </c>
      <c r="BC197" t="inlineStr">
        <is>
          <t>32285001654382</t>
        </is>
      </c>
      <c r="BD197" t="inlineStr">
        <is>
          <t>893787361</t>
        </is>
      </c>
    </row>
    <row r="198">
      <c r="A198" t="inlineStr">
        <is>
          <t>No</t>
        </is>
      </c>
      <c r="B198" t="inlineStr">
        <is>
          <t>NA680 .H3</t>
        </is>
      </c>
      <c r="C198" t="inlineStr">
        <is>
          <t>0                      NA 0680000H  3</t>
        </is>
      </c>
      <c r="D198" t="inlineStr">
        <is>
          <t>Forms and functions of twentieth-century architecture. With an introd. by Leopold Arnaud.</t>
        </is>
      </c>
      <c r="E198" t="inlineStr">
        <is>
          <t>V.2</t>
        </is>
      </c>
      <c r="F198" t="inlineStr">
        <is>
          <t>Yes</t>
        </is>
      </c>
      <c r="G198" t="inlineStr">
        <is>
          <t>1</t>
        </is>
      </c>
      <c r="H198" t="inlineStr">
        <is>
          <t>No</t>
        </is>
      </c>
      <c r="I198" t="inlineStr">
        <is>
          <t>No</t>
        </is>
      </c>
      <c r="J198" t="inlineStr">
        <is>
          <t>0</t>
        </is>
      </c>
      <c r="K198" t="inlineStr">
        <is>
          <t>Hamlin, Talbot, 1889-1956.</t>
        </is>
      </c>
      <c r="L198" t="inlineStr">
        <is>
          <t>New York, Columbia University Press, 1952.</t>
        </is>
      </c>
      <c r="M198" t="inlineStr">
        <is>
          <t>1952</t>
        </is>
      </c>
      <c r="O198" t="inlineStr">
        <is>
          <t>eng</t>
        </is>
      </c>
      <c r="P198" t="inlineStr">
        <is>
          <t>___</t>
        </is>
      </c>
      <c r="R198" t="inlineStr">
        <is>
          <t xml:space="preserve">NA </t>
        </is>
      </c>
      <c r="S198" t="n">
        <v>0</v>
      </c>
      <c r="T198" t="n">
        <v>2</v>
      </c>
      <c r="V198" t="inlineStr">
        <is>
          <t>2002-05-02</t>
        </is>
      </c>
      <c r="W198" t="inlineStr">
        <is>
          <t>1993-05-13</t>
        </is>
      </c>
      <c r="X198" t="inlineStr">
        <is>
          <t>1993-05-13</t>
        </is>
      </c>
      <c r="Y198" t="n">
        <v>753</v>
      </c>
      <c r="Z198" t="n">
        <v>661</v>
      </c>
      <c r="AA198" t="n">
        <v>663</v>
      </c>
      <c r="AB198" t="n">
        <v>5</v>
      </c>
      <c r="AC198" t="n">
        <v>5</v>
      </c>
      <c r="AD198" t="n">
        <v>24</v>
      </c>
      <c r="AE198" t="n">
        <v>24</v>
      </c>
      <c r="AF198" t="n">
        <v>9</v>
      </c>
      <c r="AG198" t="n">
        <v>9</v>
      </c>
      <c r="AH198" t="n">
        <v>4</v>
      </c>
      <c r="AI198" t="n">
        <v>4</v>
      </c>
      <c r="AJ198" t="n">
        <v>13</v>
      </c>
      <c r="AK198" t="n">
        <v>13</v>
      </c>
      <c r="AL198" t="n">
        <v>4</v>
      </c>
      <c r="AM198" t="n">
        <v>4</v>
      </c>
      <c r="AN198" t="n">
        <v>0</v>
      </c>
      <c r="AO198" t="n">
        <v>0</v>
      </c>
      <c r="AP198" t="inlineStr">
        <is>
          <t>No</t>
        </is>
      </c>
      <c r="AQ198" t="inlineStr">
        <is>
          <t>Yes</t>
        </is>
      </c>
      <c r="AR198">
        <f>HYPERLINK("http://catalog.hathitrust.org/Record/000410881","HathiTrust Record")</f>
        <v/>
      </c>
      <c r="AS198">
        <f>HYPERLINK("https://creighton-primo.hosted.exlibrisgroup.com/primo-explore/search?tab=default_tab&amp;search_scope=EVERYTHING&amp;vid=01CRU&amp;lang=en_US&amp;offset=0&amp;query=any,contains,991003478819702656","Catalog Record")</f>
        <v/>
      </c>
      <c r="AT198">
        <f>HYPERLINK("http://www.worldcat.org/oclc/1024618","WorldCat Record")</f>
        <v/>
      </c>
      <c r="AU198" t="inlineStr">
        <is>
          <t>5608672489:eng</t>
        </is>
      </c>
      <c r="AV198" t="inlineStr">
        <is>
          <t>1024618</t>
        </is>
      </c>
      <c r="AW198" t="inlineStr">
        <is>
          <t>991003478819702656</t>
        </is>
      </c>
      <c r="AX198" t="inlineStr">
        <is>
          <t>991003478819702656</t>
        </is>
      </c>
      <c r="AY198" t="inlineStr">
        <is>
          <t>2269737020002656</t>
        </is>
      </c>
      <c r="AZ198" t="inlineStr">
        <is>
          <t>BOOK</t>
        </is>
      </c>
      <c r="BC198" t="inlineStr">
        <is>
          <t>32285001654374</t>
        </is>
      </c>
      <c r="BD198" t="inlineStr">
        <is>
          <t>893805812</t>
        </is>
      </c>
    </row>
    <row r="199">
      <c r="A199" t="inlineStr">
        <is>
          <t>No</t>
        </is>
      </c>
      <c r="B199" t="inlineStr">
        <is>
          <t>NA680 .H3</t>
        </is>
      </c>
      <c r="C199" t="inlineStr">
        <is>
          <t>0                      NA 0680000H  3</t>
        </is>
      </c>
      <c r="D199" t="inlineStr">
        <is>
          <t>Forms and functions of twentieth-century architecture. With an introd. by Leopold Arnaud.</t>
        </is>
      </c>
      <c r="E199" t="inlineStr">
        <is>
          <t>V.1</t>
        </is>
      </c>
      <c r="F199" t="inlineStr">
        <is>
          <t>Yes</t>
        </is>
      </c>
      <c r="G199" t="inlineStr">
        <is>
          <t>1</t>
        </is>
      </c>
      <c r="H199" t="inlineStr">
        <is>
          <t>No</t>
        </is>
      </c>
      <c r="I199" t="inlineStr">
        <is>
          <t>No</t>
        </is>
      </c>
      <c r="J199" t="inlineStr">
        <is>
          <t>0</t>
        </is>
      </c>
      <c r="K199" t="inlineStr">
        <is>
          <t>Hamlin, Talbot, 1889-1956.</t>
        </is>
      </c>
      <c r="L199" t="inlineStr">
        <is>
          <t>New York, Columbia University Press, 1952.</t>
        </is>
      </c>
      <c r="M199" t="inlineStr">
        <is>
          <t>1952</t>
        </is>
      </c>
      <c r="O199" t="inlineStr">
        <is>
          <t>eng</t>
        </is>
      </c>
      <c r="P199" t="inlineStr">
        <is>
          <t>___</t>
        </is>
      </c>
      <c r="R199" t="inlineStr">
        <is>
          <t xml:space="preserve">NA </t>
        </is>
      </c>
      <c r="S199" t="n">
        <v>1</v>
      </c>
      <c r="T199" t="n">
        <v>2</v>
      </c>
      <c r="V199" t="inlineStr">
        <is>
          <t>2002-05-02</t>
        </is>
      </c>
      <c r="W199" t="inlineStr">
        <is>
          <t>1993-05-13</t>
        </is>
      </c>
      <c r="X199" t="inlineStr">
        <is>
          <t>1993-05-13</t>
        </is>
      </c>
      <c r="Y199" t="n">
        <v>753</v>
      </c>
      <c r="Z199" t="n">
        <v>661</v>
      </c>
      <c r="AA199" t="n">
        <v>663</v>
      </c>
      <c r="AB199" t="n">
        <v>5</v>
      </c>
      <c r="AC199" t="n">
        <v>5</v>
      </c>
      <c r="AD199" t="n">
        <v>24</v>
      </c>
      <c r="AE199" t="n">
        <v>24</v>
      </c>
      <c r="AF199" t="n">
        <v>9</v>
      </c>
      <c r="AG199" t="n">
        <v>9</v>
      </c>
      <c r="AH199" t="n">
        <v>4</v>
      </c>
      <c r="AI199" t="n">
        <v>4</v>
      </c>
      <c r="AJ199" t="n">
        <v>13</v>
      </c>
      <c r="AK199" t="n">
        <v>13</v>
      </c>
      <c r="AL199" t="n">
        <v>4</v>
      </c>
      <c r="AM199" t="n">
        <v>4</v>
      </c>
      <c r="AN199" t="n">
        <v>0</v>
      </c>
      <c r="AO199" t="n">
        <v>0</v>
      </c>
      <c r="AP199" t="inlineStr">
        <is>
          <t>No</t>
        </is>
      </c>
      <c r="AQ199" t="inlineStr">
        <is>
          <t>Yes</t>
        </is>
      </c>
      <c r="AR199">
        <f>HYPERLINK("http://catalog.hathitrust.org/Record/000410881","HathiTrust Record")</f>
        <v/>
      </c>
      <c r="AS199">
        <f>HYPERLINK("https://creighton-primo.hosted.exlibrisgroup.com/primo-explore/search?tab=default_tab&amp;search_scope=EVERYTHING&amp;vid=01CRU&amp;lang=en_US&amp;offset=0&amp;query=any,contains,991003478819702656","Catalog Record")</f>
        <v/>
      </c>
      <c r="AT199">
        <f>HYPERLINK("http://www.worldcat.org/oclc/1024618","WorldCat Record")</f>
        <v/>
      </c>
      <c r="AU199" t="inlineStr">
        <is>
          <t>5608672489:eng</t>
        </is>
      </c>
      <c r="AV199" t="inlineStr">
        <is>
          <t>1024618</t>
        </is>
      </c>
      <c r="AW199" t="inlineStr">
        <is>
          <t>991003478819702656</t>
        </is>
      </c>
      <c r="AX199" t="inlineStr">
        <is>
          <t>991003478819702656</t>
        </is>
      </c>
      <c r="AY199" t="inlineStr">
        <is>
          <t>2269737020002656</t>
        </is>
      </c>
      <c r="AZ199" t="inlineStr">
        <is>
          <t>BOOK</t>
        </is>
      </c>
      <c r="BC199" t="inlineStr">
        <is>
          <t>32285001654366</t>
        </is>
      </c>
      <c r="BD199" t="inlineStr">
        <is>
          <t>893787362</t>
        </is>
      </c>
    </row>
    <row r="200">
      <c r="A200" t="inlineStr">
        <is>
          <t>No</t>
        </is>
      </c>
      <c r="B200" t="inlineStr">
        <is>
          <t>NA680 .H3</t>
        </is>
      </c>
      <c r="C200" t="inlineStr">
        <is>
          <t>0                      NA 0680000H  3</t>
        </is>
      </c>
      <c r="D200" t="inlineStr">
        <is>
          <t>Forms and functions of twentieth-century architecture. With an introd. by Leopold Arnaud.</t>
        </is>
      </c>
      <c r="E200" t="inlineStr">
        <is>
          <t>V.4</t>
        </is>
      </c>
      <c r="F200" t="inlineStr">
        <is>
          <t>Yes</t>
        </is>
      </c>
      <c r="G200" t="inlineStr">
        <is>
          <t>1</t>
        </is>
      </c>
      <c r="H200" t="inlineStr">
        <is>
          <t>No</t>
        </is>
      </c>
      <c r="I200" t="inlineStr">
        <is>
          <t>No</t>
        </is>
      </c>
      <c r="J200" t="inlineStr">
        <is>
          <t>0</t>
        </is>
      </c>
      <c r="K200" t="inlineStr">
        <is>
          <t>Hamlin, Talbot, 1889-1956.</t>
        </is>
      </c>
      <c r="L200" t="inlineStr">
        <is>
          <t>New York, Columbia University Press, 1952.</t>
        </is>
      </c>
      <c r="M200" t="inlineStr">
        <is>
          <t>1952</t>
        </is>
      </c>
      <c r="O200" t="inlineStr">
        <is>
          <t>eng</t>
        </is>
      </c>
      <c r="P200" t="inlineStr">
        <is>
          <t>___</t>
        </is>
      </c>
      <c r="R200" t="inlineStr">
        <is>
          <t xml:space="preserve">NA </t>
        </is>
      </c>
      <c r="S200" t="n">
        <v>1</v>
      </c>
      <c r="T200" t="n">
        <v>2</v>
      </c>
      <c r="U200" t="inlineStr">
        <is>
          <t>2002-05-02</t>
        </is>
      </c>
      <c r="V200" t="inlineStr">
        <is>
          <t>2002-05-02</t>
        </is>
      </c>
      <c r="W200" t="inlineStr">
        <is>
          <t>1993-05-13</t>
        </is>
      </c>
      <c r="X200" t="inlineStr">
        <is>
          <t>1993-05-13</t>
        </is>
      </c>
      <c r="Y200" t="n">
        <v>753</v>
      </c>
      <c r="Z200" t="n">
        <v>661</v>
      </c>
      <c r="AA200" t="n">
        <v>663</v>
      </c>
      <c r="AB200" t="n">
        <v>5</v>
      </c>
      <c r="AC200" t="n">
        <v>5</v>
      </c>
      <c r="AD200" t="n">
        <v>24</v>
      </c>
      <c r="AE200" t="n">
        <v>24</v>
      </c>
      <c r="AF200" t="n">
        <v>9</v>
      </c>
      <c r="AG200" t="n">
        <v>9</v>
      </c>
      <c r="AH200" t="n">
        <v>4</v>
      </c>
      <c r="AI200" t="n">
        <v>4</v>
      </c>
      <c r="AJ200" t="n">
        <v>13</v>
      </c>
      <c r="AK200" t="n">
        <v>13</v>
      </c>
      <c r="AL200" t="n">
        <v>4</v>
      </c>
      <c r="AM200" t="n">
        <v>4</v>
      </c>
      <c r="AN200" t="n">
        <v>0</v>
      </c>
      <c r="AO200" t="n">
        <v>0</v>
      </c>
      <c r="AP200" t="inlineStr">
        <is>
          <t>No</t>
        </is>
      </c>
      <c r="AQ200" t="inlineStr">
        <is>
          <t>Yes</t>
        </is>
      </c>
      <c r="AR200">
        <f>HYPERLINK("http://catalog.hathitrust.org/Record/000410881","HathiTrust Record")</f>
        <v/>
      </c>
      <c r="AS200">
        <f>HYPERLINK("https://creighton-primo.hosted.exlibrisgroup.com/primo-explore/search?tab=default_tab&amp;search_scope=EVERYTHING&amp;vid=01CRU&amp;lang=en_US&amp;offset=0&amp;query=any,contains,991003478819702656","Catalog Record")</f>
        <v/>
      </c>
      <c r="AT200">
        <f>HYPERLINK("http://www.worldcat.org/oclc/1024618","WorldCat Record")</f>
        <v/>
      </c>
      <c r="AU200" t="inlineStr">
        <is>
          <t>5608672489:eng</t>
        </is>
      </c>
      <c r="AV200" t="inlineStr">
        <is>
          <t>1024618</t>
        </is>
      </c>
      <c r="AW200" t="inlineStr">
        <is>
          <t>991003478819702656</t>
        </is>
      </c>
      <c r="AX200" t="inlineStr">
        <is>
          <t>991003478819702656</t>
        </is>
      </c>
      <c r="AY200" t="inlineStr">
        <is>
          <t>2269737020002656</t>
        </is>
      </c>
      <c r="AZ200" t="inlineStr">
        <is>
          <t>BOOK</t>
        </is>
      </c>
      <c r="BC200" t="inlineStr">
        <is>
          <t>32285001654390</t>
        </is>
      </c>
      <c r="BD200" t="inlineStr">
        <is>
          <t>893799761</t>
        </is>
      </c>
    </row>
    <row r="201">
      <c r="A201" t="inlineStr">
        <is>
          <t>No</t>
        </is>
      </c>
      <c r="B201" t="inlineStr">
        <is>
          <t>NA680 .J457 1987</t>
        </is>
      </c>
      <c r="C201" t="inlineStr">
        <is>
          <t>0                      NA 0680000J  457         1987</t>
        </is>
      </c>
      <c r="D201" t="inlineStr">
        <is>
          <t>The language of post-modern architecture / Charles A. Jencks.</t>
        </is>
      </c>
      <c r="F201" t="inlineStr">
        <is>
          <t>No</t>
        </is>
      </c>
      <c r="G201" t="inlineStr">
        <is>
          <t>1</t>
        </is>
      </c>
      <c r="H201" t="inlineStr">
        <is>
          <t>No</t>
        </is>
      </c>
      <c r="I201" t="inlineStr">
        <is>
          <t>No</t>
        </is>
      </c>
      <c r="J201" t="inlineStr">
        <is>
          <t>0</t>
        </is>
      </c>
      <c r="K201" t="inlineStr">
        <is>
          <t>Jencks, Charles.</t>
        </is>
      </c>
      <c r="L201" t="inlineStr">
        <is>
          <t>New York : Rizzoli, c1987.</t>
        </is>
      </c>
      <c r="M201" t="inlineStr">
        <is>
          <t>1987</t>
        </is>
      </c>
      <c r="N201" t="inlineStr">
        <is>
          <t>5th rev. enl. ed.</t>
        </is>
      </c>
      <c r="O201" t="inlineStr">
        <is>
          <t>eng</t>
        </is>
      </c>
      <c r="P201" t="inlineStr">
        <is>
          <t>nyu</t>
        </is>
      </c>
      <c r="R201" t="inlineStr">
        <is>
          <t xml:space="preserve">NA </t>
        </is>
      </c>
      <c r="S201" t="n">
        <v>19</v>
      </c>
      <c r="T201" t="n">
        <v>19</v>
      </c>
      <c r="U201" t="inlineStr">
        <is>
          <t>2003-04-29</t>
        </is>
      </c>
      <c r="V201" t="inlineStr">
        <is>
          <t>2003-04-29</t>
        </is>
      </c>
      <c r="W201" t="inlineStr">
        <is>
          <t>1991-01-30</t>
        </is>
      </c>
      <c r="X201" t="inlineStr">
        <is>
          <t>1991-01-30</t>
        </is>
      </c>
      <c r="Y201" t="n">
        <v>112</v>
      </c>
      <c r="Z201" t="n">
        <v>84</v>
      </c>
      <c r="AA201" t="n">
        <v>810</v>
      </c>
      <c r="AB201" t="n">
        <v>1</v>
      </c>
      <c r="AC201" t="n">
        <v>4</v>
      </c>
      <c r="AD201" t="n">
        <v>3</v>
      </c>
      <c r="AE201" t="n">
        <v>20</v>
      </c>
      <c r="AF201" t="n">
        <v>1</v>
      </c>
      <c r="AG201" t="n">
        <v>7</v>
      </c>
      <c r="AH201" t="n">
        <v>1</v>
      </c>
      <c r="AI201" t="n">
        <v>5</v>
      </c>
      <c r="AJ201" t="n">
        <v>2</v>
      </c>
      <c r="AK201" t="n">
        <v>10</v>
      </c>
      <c r="AL201" t="n">
        <v>0</v>
      </c>
      <c r="AM201" t="n">
        <v>2</v>
      </c>
      <c r="AN201" t="n">
        <v>0</v>
      </c>
      <c r="AO201" t="n">
        <v>0</v>
      </c>
      <c r="AP201" t="inlineStr">
        <is>
          <t>No</t>
        </is>
      </c>
      <c r="AQ201" t="inlineStr">
        <is>
          <t>Yes</t>
        </is>
      </c>
      <c r="AR201">
        <f>HYPERLINK("http://catalog.hathitrust.org/Record/009920943","HathiTrust Record")</f>
        <v/>
      </c>
      <c r="AS201">
        <f>HYPERLINK("https://creighton-primo.hosted.exlibrisgroup.com/primo-explore/search?tab=default_tab&amp;search_scope=EVERYTHING&amp;vid=01CRU&amp;lang=en_US&amp;offset=0&amp;query=any,contains,991001337959702656","Catalog Record")</f>
        <v/>
      </c>
      <c r="AT201">
        <f>HYPERLINK("http://www.worldcat.org/oclc/18373924","WorldCat Record")</f>
        <v/>
      </c>
      <c r="AU201" t="inlineStr">
        <is>
          <t>4154988:eng</t>
        </is>
      </c>
      <c r="AV201" t="inlineStr">
        <is>
          <t>18373924</t>
        </is>
      </c>
      <c r="AW201" t="inlineStr">
        <is>
          <t>991001337959702656</t>
        </is>
      </c>
      <c r="AX201" t="inlineStr">
        <is>
          <t>991001337959702656</t>
        </is>
      </c>
      <c r="AY201" t="inlineStr">
        <is>
          <t>2268992660002656</t>
        </is>
      </c>
      <c r="AZ201" t="inlineStr">
        <is>
          <t>BOOK</t>
        </is>
      </c>
      <c r="BB201" t="inlineStr">
        <is>
          <t>9780847809004</t>
        </is>
      </c>
      <c r="BC201" t="inlineStr">
        <is>
          <t>32285000298991</t>
        </is>
      </c>
      <c r="BD201" t="inlineStr">
        <is>
          <t>893414174</t>
        </is>
      </c>
    </row>
    <row r="202">
      <c r="A202" t="inlineStr">
        <is>
          <t>No</t>
        </is>
      </c>
      <c r="B202" t="inlineStr">
        <is>
          <t>NA680 .J61</t>
        </is>
      </c>
      <c r="C202" t="inlineStr">
        <is>
          <t>0                      NA 0680000J  61</t>
        </is>
      </c>
      <c r="D202" t="inlineStr">
        <is>
          <t>A history of modern architecture / [translated from the German by James C. Palmes]</t>
        </is>
      </c>
      <c r="F202" t="inlineStr">
        <is>
          <t>No</t>
        </is>
      </c>
      <c r="G202" t="inlineStr">
        <is>
          <t>1</t>
        </is>
      </c>
      <c r="H202" t="inlineStr">
        <is>
          <t>No</t>
        </is>
      </c>
      <c r="I202" t="inlineStr">
        <is>
          <t>No</t>
        </is>
      </c>
      <c r="J202" t="inlineStr">
        <is>
          <t>0</t>
        </is>
      </c>
      <c r="K202" t="inlineStr">
        <is>
          <t>Joedicke, Jürgen.</t>
        </is>
      </c>
      <c r="L202" t="inlineStr">
        <is>
          <t>New York, Praeger [1959]</t>
        </is>
      </c>
      <c r="M202" t="inlineStr">
        <is>
          <t>1959</t>
        </is>
      </c>
      <c r="O202" t="inlineStr">
        <is>
          <t>eng</t>
        </is>
      </c>
      <c r="P202" t="inlineStr">
        <is>
          <t>nyu</t>
        </is>
      </c>
      <c r="Q202" t="inlineStr">
        <is>
          <t>Books that matter</t>
        </is>
      </c>
      <c r="R202" t="inlineStr">
        <is>
          <t xml:space="preserve">NA </t>
        </is>
      </c>
      <c r="S202" t="n">
        <v>3</v>
      </c>
      <c r="T202" t="n">
        <v>3</v>
      </c>
      <c r="U202" t="inlineStr">
        <is>
          <t>2002-04-30</t>
        </is>
      </c>
      <c r="V202" t="inlineStr">
        <is>
          <t>2002-04-30</t>
        </is>
      </c>
      <c r="W202" t="inlineStr">
        <is>
          <t>1997-05-27</t>
        </is>
      </c>
      <c r="X202" t="inlineStr">
        <is>
          <t>1997-05-27</t>
        </is>
      </c>
      <c r="Y202" t="n">
        <v>590</v>
      </c>
      <c r="Z202" t="n">
        <v>549</v>
      </c>
      <c r="AA202" t="n">
        <v>594</v>
      </c>
      <c r="AB202" t="n">
        <v>3</v>
      </c>
      <c r="AC202" t="n">
        <v>3</v>
      </c>
      <c r="AD202" t="n">
        <v>13</v>
      </c>
      <c r="AE202" t="n">
        <v>16</v>
      </c>
      <c r="AF202" t="n">
        <v>5</v>
      </c>
      <c r="AG202" t="n">
        <v>7</v>
      </c>
      <c r="AH202" t="n">
        <v>3</v>
      </c>
      <c r="AI202" t="n">
        <v>3</v>
      </c>
      <c r="AJ202" t="n">
        <v>5</v>
      </c>
      <c r="AK202" t="n">
        <v>6</v>
      </c>
      <c r="AL202" t="n">
        <v>2</v>
      </c>
      <c r="AM202" t="n">
        <v>2</v>
      </c>
      <c r="AN202" t="n">
        <v>0</v>
      </c>
      <c r="AO202" t="n">
        <v>0</v>
      </c>
      <c r="AP202" t="inlineStr">
        <is>
          <t>No</t>
        </is>
      </c>
      <c r="AQ202" t="inlineStr">
        <is>
          <t>No</t>
        </is>
      </c>
      <c r="AR202">
        <f>HYPERLINK("http://catalog.hathitrust.org/Record/000453175","HathiTrust Record")</f>
        <v/>
      </c>
      <c r="AS202">
        <f>HYPERLINK("https://creighton-primo.hosted.exlibrisgroup.com/primo-explore/search?tab=default_tab&amp;search_scope=EVERYTHING&amp;vid=01CRU&amp;lang=en_US&amp;offset=0&amp;query=any,contains,991003326499702656","Catalog Record")</f>
        <v/>
      </c>
      <c r="AT202">
        <f>HYPERLINK("http://www.worldcat.org/oclc/856149","WorldCat Record")</f>
        <v/>
      </c>
      <c r="AU202" t="inlineStr">
        <is>
          <t>1805171:eng</t>
        </is>
      </c>
      <c r="AV202" t="inlineStr">
        <is>
          <t>856149</t>
        </is>
      </c>
      <c r="AW202" t="inlineStr">
        <is>
          <t>991003326499702656</t>
        </is>
      </c>
      <c r="AX202" t="inlineStr">
        <is>
          <t>991003326499702656</t>
        </is>
      </c>
      <c r="AY202" t="inlineStr">
        <is>
          <t>2268694200002656</t>
        </is>
      </c>
      <c r="AZ202" t="inlineStr">
        <is>
          <t>BOOK</t>
        </is>
      </c>
      <c r="BC202" t="inlineStr">
        <is>
          <t>32285002696440</t>
        </is>
      </c>
      <c r="BD202" t="inlineStr">
        <is>
          <t>893445612</t>
        </is>
      </c>
    </row>
    <row r="203">
      <c r="A203" t="inlineStr">
        <is>
          <t>No</t>
        </is>
      </c>
      <c r="B203" t="inlineStr">
        <is>
          <t>NA680 .P374 1958a</t>
        </is>
      </c>
      <c r="C203" t="inlineStr">
        <is>
          <t>0                      NA 0680000P  374         1958a</t>
        </is>
      </c>
      <c r="D203" t="inlineStr">
        <is>
          <t>Masters of modern architecture.</t>
        </is>
      </c>
      <c r="F203" t="inlineStr">
        <is>
          <t>No</t>
        </is>
      </c>
      <c r="G203" t="inlineStr">
        <is>
          <t>1</t>
        </is>
      </c>
      <c r="H203" t="inlineStr">
        <is>
          <t>No</t>
        </is>
      </c>
      <c r="I203" t="inlineStr">
        <is>
          <t>No</t>
        </is>
      </c>
      <c r="J203" t="inlineStr">
        <is>
          <t>0</t>
        </is>
      </c>
      <c r="K203" t="inlineStr">
        <is>
          <t>Peter, John, 1917-1998.</t>
        </is>
      </c>
      <c r="L203" t="inlineStr">
        <is>
          <t>New York : Bonanza Bks., 1958.</t>
        </is>
      </c>
      <c r="M203" t="inlineStr">
        <is>
          <t>1958</t>
        </is>
      </c>
      <c r="O203" t="inlineStr">
        <is>
          <t>eng</t>
        </is>
      </c>
      <c r="P203" t="inlineStr">
        <is>
          <t xml:space="preserve">xx </t>
        </is>
      </c>
      <c r="R203" t="inlineStr">
        <is>
          <t xml:space="preserve">NA </t>
        </is>
      </c>
      <c r="S203" t="n">
        <v>7</v>
      </c>
      <c r="T203" t="n">
        <v>7</v>
      </c>
      <c r="U203" t="inlineStr">
        <is>
          <t>1999-04-23</t>
        </is>
      </c>
      <c r="V203" t="inlineStr">
        <is>
          <t>1999-04-23</t>
        </is>
      </c>
      <c r="W203" t="inlineStr">
        <is>
          <t>1990-03-20</t>
        </is>
      </c>
      <c r="X203" t="inlineStr">
        <is>
          <t>1990-03-20</t>
        </is>
      </c>
      <c r="Y203" t="n">
        <v>342</v>
      </c>
      <c r="Z203" t="n">
        <v>323</v>
      </c>
      <c r="AA203" t="n">
        <v>1004</v>
      </c>
      <c r="AB203" t="n">
        <v>3</v>
      </c>
      <c r="AC203" t="n">
        <v>9</v>
      </c>
      <c r="AD203" t="n">
        <v>6</v>
      </c>
      <c r="AE203" t="n">
        <v>23</v>
      </c>
      <c r="AF203" t="n">
        <v>3</v>
      </c>
      <c r="AG203" t="n">
        <v>8</v>
      </c>
      <c r="AH203" t="n">
        <v>0</v>
      </c>
      <c r="AI203" t="n">
        <v>4</v>
      </c>
      <c r="AJ203" t="n">
        <v>4</v>
      </c>
      <c r="AK203" t="n">
        <v>10</v>
      </c>
      <c r="AL203" t="n">
        <v>1</v>
      </c>
      <c r="AM203" t="n">
        <v>6</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HYPERLINK("https://creighton-primo.hosted.exlibrisgroup.com/primo-explore/search?tab=default_tab&amp;search_scope=EVERYTHING&amp;vid=01CRU&amp;lang=en_US&amp;offset=0&amp;query=any,contains,991002391059702656","Catalog Record")</f>
        <v/>
      </c>
      <c r="AT203">
        <f>HYPERLINK("http://www.worldcat.org/oclc/332448","WorldCat Record")</f>
        <v/>
      </c>
      <c r="AU203" t="inlineStr">
        <is>
          <t>365647092:eng</t>
        </is>
      </c>
      <c r="AV203" t="inlineStr">
        <is>
          <t>332448</t>
        </is>
      </c>
      <c r="AW203" t="inlineStr">
        <is>
          <t>991002391059702656</t>
        </is>
      </c>
      <c r="AX203" t="inlineStr">
        <is>
          <t>991002391059702656</t>
        </is>
      </c>
      <c r="AY203" t="inlineStr">
        <is>
          <t>2257764360002656</t>
        </is>
      </c>
      <c r="AZ203" t="inlineStr">
        <is>
          <t>BOOK</t>
        </is>
      </c>
      <c r="BC203" t="inlineStr">
        <is>
          <t>32285000091503</t>
        </is>
      </c>
      <c r="BD203" t="inlineStr">
        <is>
          <t>893779751</t>
        </is>
      </c>
    </row>
    <row r="204">
      <c r="A204" t="inlineStr">
        <is>
          <t>No</t>
        </is>
      </c>
      <c r="B204" t="inlineStr">
        <is>
          <t>NA6820 .E5 1980</t>
        </is>
      </c>
      <c r="C204" t="inlineStr">
        <is>
          <t>0                      NA 6820000E  5           1980</t>
        </is>
      </c>
      <c r="D204" t="inlineStr">
        <is>
          <t>Theatre architecture &amp; stage machines : engravings from the Encyclopédie, ou Dictionnaire raisonné des sciences, des arts, et des métiers / edited by Denis Diderot and Jean le Rond d'Alembert.</t>
        </is>
      </c>
      <c r="F204" t="inlineStr">
        <is>
          <t>No</t>
        </is>
      </c>
      <c r="G204" t="inlineStr">
        <is>
          <t>1</t>
        </is>
      </c>
      <c r="H204" t="inlineStr">
        <is>
          <t>No</t>
        </is>
      </c>
      <c r="I204" t="inlineStr">
        <is>
          <t>No</t>
        </is>
      </c>
      <c r="J204" t="inlineStr">
        <is>
          <t>0</t>
        </is>
      </c>
      <c r="L204" t="inlineStr">
        <is>
          <t>New York : Arno Press, 1980.</t>
        </is>
      </c>
      <c r="M204" t="inlineStr">
        <is>
          <t>1980</t>
        </is>
      </c>
      <c r="O204" t="inlineStr">
        <is>
          <t>fre</t>
        </is>
      </c>
      <c r="P204" t="inlineStr">
        <is>
          <t>nyu</t>
        </is>
      </c>
      <c r="R204" t="inlineStr">
        <is>
          <t xml:space="preserve">NA </t>
        </is>
      </c>
      <c r="S204" t="n">
        <v>4</v>
      </c>
      <c r="T204" t="n">
        <v>4</v>
      </c>
      <c r="U204" t="inlineStr">
        <is>
          <t>2006-11-28</t>
        </is>
      </c>
      <c r="V204" t="inlineStr">
        <is>
          <t>2006-11-28</t>
        </is>
      </c>
      <c r="W204" t="inlineStr">
        <is>
          <t>1999-03-31</t>
        </is>
      </c>
      <c r="X204" t="inlineStr">
        <is>
          <t>1999-03-31</t>
        </is>
      </c>
      <c r="Y204" t="n">
        <v>18</v>
      </c>
      <c r="Z204" t="n">
        <v>17</v>
      </c>
      <c r="AA204" t="n">
        <v>320</v>
      </c>
      <c r="AB204" t="n">
        <v>1</v>
      </c>
      <c r="AC204" t="n">
        <v>5</v>
      </c>
      <c r="AD204" t="n">
        <v>0</v>
      </c>
      <c r="AE204" t="n">
        <v>17</v>
      </c>
      <c r="AF204" t="n">
        <v>0</v>
      </c>
      <c r="AG204" t="n">
        <v>6</v>
      </c>
      <c r="AH204" t="n">
        <v>0</v>
      </c>
      <c r="AI204" t="n">
        <v>1</v>
      </c>
      <c r="AJ204" t="n">
        <v>0</v>
      </c>
      <c r="AK204" t="n">
        <v>8</v>
      </c>
      <c r="AL204" t="n">
        <v>0</v>
      </c>
      <c r="AM204" t="n">
        <v>4</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HYPERLINK("https://creighton-primo.hosted.exlibrisgroup.com/primo-explore/search?tab=default_tab&amp;search_scope=EVERYTHING&amp;vid=01CRU&amp;lang=en_US&amp;offset=0&amp;query=any,contains,991000815159702656","Catalog Record")</f>
        <v/>
      </c>
      <c r="AT204">
        <f>HYPERLINK("http://www.worldcat.org/oclc/13353971","WorldCat Record")</f>
        <v/>
      </c>
      <c r="AU204" t="inlineStr">
        <is>
          <t>474856997:fre</t>
        </is>
      </c>
      <c r="AV204" t="inlineStr">
        <is>
          <t>13353971</t>
        </is>
      </c>
      <c r="AW204" t="inlineStr">
        <is>
          <t>991000815159702656</t>
        </is>
      </c>
      <c r="AX204" t="inlineStr">
        <is>
          <t>991000815159702656</t>
        </is>
      </c>
      <c r="AY204" t="inlineStr">
        <is>
          <t>2265943850002656</t>
        </is>
      </c>
      <c r="AZ204" t="inlineStr">
        <is>
          <t>BOOK</t>
        </is>
      </c>
      <c r="BB204" t="inlineStr">
        <is>
          <t>9780405091391</t>
        </is>
      </c>
      <c r="BC204" t="inlineStr">
        <is>
          <t>32285003548327</t>
        </is>
      </c>
      <c r="BD204" t="inlineStr">
        <is>
          <t>893784554</t>
        </is>
      </c>
    </row>
    <row r="205">
      <c r="A205" t="inlineStr">
        <is>
          <t>No</t>
        </is>
      </c>
      <c r="B205" t="inlineStr">
        <is>
          <t>NA6821 .A5</t>
        </is>
      </c>
      <c r="C205" t="inlineStr">
        <is>
          <t>0                      NA 6821000A  5</t>
        </is>
      </c>
      <c r="D205" t="inlineStr">
        <is>
          <t>The ideal theater : eight concepts ; an exhibition of designs and models resulting from the Ford Foundation Program for Theater Design / prepared and circulated by the American Federation of Arts.</t>
        </is>
      </c>
      <c r="F205" t="inlineStr">
        <is>
          <t>No</t>
        </is>
      </c>
      <c r="G205" t="inlineStr">
        <is>
          <t>1</t>
        </is>
      </c>
      <c r="H205" t="inlineStr">
        <is>
          <t>No</t>
        </is>
      </c>
      <c r="I205" t="inlineStr">
        <is>
          <t>No</t>
        </is>
      </c>
      <c r="J205" t="inlineStr">
        <is>
          <t>0</t>
        </is>
      </c>
      <c r="K205" t="inlineStr">
        <is>
          <t>American Federation of Arts.</t>
        </is>
      </c>
      <c r="L205" t="inlineStr">
        <is>
          <t>New York: The Federation, [c1962]</t>
        </is>
      </c>
      <c r="M205" t="inlineStr">
        <is>
          <t>1962</t>
        </is>
      </c>
      <c r="N205" t="inlineStr">
        <is>
          <t>[2d ed.]</t>
        </is>
      </c>
      <c r="O205" t="inlineStr">
        <is>
          <t>eng</t>
        </is>
      </c>
      <c r="P205" t="inlineStr">
        <is>
          <t xml:space="preserve">xx </t>
        </is>
      </c>
      <c r="R205" t="inlineStr">
        <is>
          <t xml:space="preserve">NA </t>
        </is>
      </c>
      <c r="S205" t="n">
        <v>4</v>
      </c>
      <c r="T205" t="n">
        <v>4</v>
      </c>
      <c r="U205" t="inlineStr">
        <is>
          <t>2005-12-05</t>
        </is>
      </c>
      <c r="V205" t="inlineStr">
        <is>
          <t>2005-12-05</t>
        </is>
      </c>
      <c r="W205" t="inlineStr">
        <is>
          <t>1997-07-02</t>
        </is>
      </c>
      <c r="X205" t="inlineStr">
        <is>
          <t>1997-07-02</t>
        </is>
      </c>
      <c r="Y205" t="n">
        <v>80</v>
      </c>
      <c r="Z205" t="n">
        <v>74</v>
      </c>
      <c r="AA205" t="n">
        <v>251</v>
      </c>
      <c r="AB205" t="n">
        <v>1</v>
      </c>
      <c r="AC205" t="n">
        <v>2</v>
      </c>
      <c r="AD205" t="n">
        <v>2</v>
      </c>
      <c r="AE205" t="n">
        <v>8</v>
      </c>
      <c r="AF205" t="n">
        <v>0</v>
      </c>
      <c r="AG205" t="n">
        <v>2</v>
      </c>
      <c r="AH205" t="n">
        <v>1</v>
      </c>
      <c r="AI205" t="n">
        <v>2</v>
      </c>
      <c r="AJ205" t="n">
        <v>1</v>
      </c>
      <c r="AK205" t="n">
        <v>4</v>
      </c>
      <c r="AL205" t="n">
        <v>0</v>
      </c>
      <c r="AM205" t="n">
        <v>1</v>
      </c>
      <c r="AN205" t="n">
        <v>0</v>
      </c>
      <c r="AO205" t="n">
        <v>0</v>
      </c>
      <c r="AP205" t="inlineStr">
        <is>
          <t>No</t>
        </is>
      </c>
      <c r="AQ205" t="inlineStr">
        <is>
          <t>Yes</t>
        </is>
      </c>
      <c r="AR205">
        <f>HYPERLINK("http://catalog.hathitrust.org/Record/000043518","HathiTrust Record")</f>
        <v/>
      </c>
      <c r="AS205">
        <f>HYPERLINK("https://creighton-primo.hosted.exlibrisgroup.com/primo-explore/search?tab=default_tab&amp;search_scope=EVERYTHING&amp;vid=01CRU&amp;lang=en_US&amp;offset=0&amp;query=any,contains,991003611359702656","Catalog Record")</f>
        <v/>
      </c>
      <c r="AT205">
        <f>HYPERLINK("http://www.worldcat.org/oclc/1194245","WorldCat Record")</f>
        <v/>
      </c>
      <c r="AU205" t="inlineStr">
        <is>
          <t>3754573620:eng</t>
        </is>
      </c>
      <c r="AV205" t="inlineStr">
        <is>
          <t>1194245</t>
        </is>
      </c>
      <c r="AW205" t="inlineStr">
        <is>
          <t>991003611359702656</t>
        </is>
      </c>
      <c r="AX205" t="inlineStr">
        <is>
          <t>991003611359702656</t>
        </is>
      </c>
      <c r="AY205" t="inlineStr">
        <is>
          <t>2258326400002656</t>
        </is>
      </c>
      <c r="AZ205" t="inlineStr">
        <is>
          <t>BOOK</t>
        </is>
      </c>
      <c r="BC205" t="inlineStr">
        <is>
          <t>32285002862968</t>
        </is>
      </c>
      <c r="BD205" t="inlineStr">
        <is>
          <t>893422749</t>
        </is>
      </c>
    </row>
    <row r="206">
      <c r="A206" t="inlineStr">
        <is>
          <t>No</t>
        </is>
      </c>
      <c r="B206" t="inlineStr">
        <is>
          <t>NA6821 .B8 1949</t>
        </is>
      </c>
      <c r="C206" t="inlineStr">
        <is>
          <t>0                      NA 6821000B  8           1949</t>
        </is>
      </c>
      <c r="D206" t="inlineStr">
        <is>
          <t>Theatres &amp; auditoriums [by] Harold Burris-Meyer &amp; Edward C. Cole.</t>
        </is>
      </c>
      <c r="F206" t="inlineStr">
        <is>
          <t>No</t>
        </is>
      </c>
      <c r="G206" t="inlineStr">
        <is>
          <t>1</t>
        </is>
      </c>
      <c r="H206" t="inlineStr">
        <is>
          <t>No</t>
        </is>
      </c>
      <c r="I206" t="inlineStr">
        <is>
          <t>Yes</t>
        </is>
      </c>
      <c r="J206" t="inlineStr">
        <is>
          <t>0</t>
        </is>
      </c>
      <c r="K206" t="inlineStr">
        <is>
          <t>Burris-Meyer, Harold, 1902-1984.</t>
        </is>
      </c>
      <c r="L206" t="inlineStr">
        <is>
          <t>New York, Reinhold [c1949]</t>
        </is>
      </c>
      <c r="M206" t="inlineStr">
        <is>
          <t>1949</t>
        </is>
      </c>
      <c r="O206" t="inlineStr">
        <is>
          <t>eng</t>
        </is>
      </c>
      <c r="P206" t="inlineStr">
        <is>
          <t>nyu</t>
        </is>
      </c>
      <c r="Q206" t="inlineStr">
        <is>
          <t>Progressive architecture library</t>
        </is>
      </c>
      <c r="R206" t="inlineStr">
        <is>
          <t xml:space="preserve">NA </t>
        </is>
      </c>
      <c r="S206" t="n">
        <v>2</v>
      </c>
      <c r="T206" t="n">
        <v>2</v>
      </c>
      <c r="U206" t="inlineStr">
        <is>
          <t>2007-11-21</t>
        </is>
      </c>
      <c r="V206" t="inlineStr">
        <is>
          <t>2007-11-21</t>
        </is>
      </c>
      <c r="W206" t="inlineStr">
        <is>
          <t>1997-07-02</t>
        </is>
      </c>
      <c r="X206" t="inlineStr">
        <is>
          <t>1997-07-02</t>
        </is>
      </c>
      <c r="Y206" t="n">
        <v>491</v>
      </c>
      <c r="Z206" t="n">
        <v>402</v>
      </c>
      <c r="AA206" t="n">
        <v>908</v>
      </c>
      <c r="AB206" t="n">
        <v>6</v>
      </c>
      <c r="AC206" t="n">
        <v>9</v>
      </c>
      <c r="AD206" t="n">
        <v>15</v>
      </c>
      <c r="AE206" t="n">
        <v>42</v>
      </c>
      <c r="AF206" t="n">
        <v>7</v>
      </c>
      <c r="AG206" t="n">
        <v>17</v>
      </c>
      <c r="AH206" t="n">
        <v>2</v>
      </c>
      <c r="AI206" t="n">
        <v>8</v>
      </c>
      <c r="AJ206" t="n">
        <v>4</v>
      </c>
      <c r="AK206" t="n">
        <v>17</v>
      </c>
      <c r="AL206" t="n">
        <v>5</v>
      </c>
      <c r="AM206" t="n">
        <v>8</v>
      </c>
      <c r="AN206" t="n">
        <v>0</v>
      </c>
      <c r="AO206" t="n">
        <v>0</v>
      </c>
      <c r="AP206" t="inlineStr">
        <is>
          <t>Yes</t>
        </is>
      </c>
      <c r="AQ206" t="inlineStr">
        <is>
          <t>No</t>
        </is>
      </c>
      <c r="AR206">
        <f>HYPERLINK("http://catalog.hathitrust.org/Record/000647077","HathiTrust Record")</f>
        <v/>
      </c>
      <c r="AS206">
        <f>HYPERLINK("https://creighton-primo.hosted.exlibrisgroup.com/primo-explore/search?tab=default_tab&amp;search_scope=EVERYTHING&amp;vid=01CRU&amp;lang=en_US&amp;offset=0&amp;query=any,contains,991003056689702656","Catalog Record")</f>
        <v/>
      </c>
      <c r="AT206">
        <f>HYPERLINK("http://www.worldcat.org/oclc/614873","WorldCat Record")</f>
        <v/>
      </c>
      <c r="AU206" t="inlineStr">
        <is>
          <t>1299579:eng</t>
        </is>
      </c>
      <c r="AV206" t="inlineStr">
        <is>
          <t>614873</t>
        </is>
      </c>
      <c r="AW206" t="inlineStr">
        <is>
          <t>991003056689702656</t>
        </is>
      </c>
      <c r="AX206" t="inlineStr">
        <is>
          <t>991003056689702656</t>
        </is>
      </c>
      <c r="AY206" t="inlineStr">
        <is>
          <t>2270169060002656</t>
        </is>
      </c>
      <c r="AZ206" t="inlineStr">
        <is>
          <t>BOOK</t>
        </is>
      </c>
      <c r="BC206" t="inlineStr">
        <is>
          <t>32285002862976</t>
        </is>
      </c>
      <c r="BD206" t="inlineStr">
        <is>
          <t>893511535</t>
        </is>
      </c>
    </row>
    <row r="207">
      <c r="A207" t="inlineStr">
        <is>
          <t>No</t>
        </is>
      </c>
      <c r="B207" t="inlineStr">
        <is>
          <t>NA6821 .M83</t>
        </is>
      </c>
      <c r="C207" t="inlineStr">
        <is>
          <t>0                      NA 6821000M  83</t>
        </is>
      </c>
      <c r="D207" t="inlineStr">
        <is>
          <t>The development of the playhouse : a survey of theatre architecture from the Renaissance to the present / [by] Donald C. Mullin.</t>
        </is>
      </c>
      <c r="F207" t="inlineStr">
        <is>
          <t>No</t>
        </is>
      </c>
      <c r="G207" t="inlineStr">
        <is>
          <t>1</t>
        </is>
      </c>
      <c r="H207" t="inlineStr">
        <is>
          <t>No</t>
        </is>
      </c>
      <c r="I207" t="inlineStr">
        <is>
          <t>No</t>
        </is>
      </c>
      <c r="J207" t="inlineStr">
        <is>
          <t>0</t>
        </is>
      </c>
      <c r="K207" t="inlineStr">
        <is>
          <t>Mullin, Donald C.</t>
        </is>
      </c>
      <c r="L207" t="inlineStr">
        <is>
          <t>Berkeley : University of California Press, 1970.</t>
        </is>
      </c>
      <c r="M207" t="inlineStr">
        <is>
          <t>1970</t>
        </is>
      </c>
      <c r="O207" t="inlineStr">
        <is>
          <t>eng</t>
        </is>
      </c>
      <c r="P207" t="inlineStr">
        <is>
          <t>cau</t>
        </is>
      </c>
      <c r="R207" t="inlineStr">
        <is>
          <t xml:space="preserve">NA </t>
        </is>
      </c>
      <c r="S207" t="n">
        <v>15</v>
      </c>
      <c r="T207" t="n">
        <v>15</v>
      </c>
      <c r="U207" t="inlineStr">
        <is>
          <t>2007-11-21</t>
        </is>
      </c>
      <c r="V207" t="inlineStr">
        <is>
          <t>2007-11-21</t>
        </is>
      </c>
      <c r="W207" t="inlineStr">
        <is>
          <t>1990-05-22</t>
        </is>
      </c>
      <c r="X207" t="inlineStr">
        <is>
          <t>1990-05-22</t>
        </is>
      </c>
      <c r="Y207" t="n">
        <v>900</v>
      </c>
      <c r="Z207" t="n">
        <v>735</v>
      </c>
      <c r="AA207" t="n">
        <v>742</v>
      </c>
      <c r="AB207" t="n">
        <v>5</v>
      </c>
      <c r="AC207" t="n">
        <v>5</v>
      </c>
      <c r="AD207" t="n">
        <v>30</v>
      </c>
      <c r="AE207" t="n">
        <v>30</v>
      </c>
      <c r="AF207" t="n">
        <v>11</v>
      </c>
      <c r="AG207" t="n">
        <v>11</v>
      </c>
      <c r="AH207" t="n">
        <v>7</v>
      </c>
      <c r="AI207" t="n">
        <v>7</v>
      </c>
      <c r="AJ207" t="n">
        <v>15</v>
      </c>
      <c r="AK207" t="n">
        <v>15</v>
      </c>
      <c r="AL207" t="n">
        <v>4</v>
      </c>
      <c r="AM207" t="n">
        <v>4</v>
      </c>
      <c r="AN207" t="n">
        <v>0</v>
      </c>
      <c r="AO207" t="n">
        <v>0</v>
      </c>
      <c r="AP207" t="inlineStr">
        <is>
          <t>No</t>
        </is>
      </c>
      <c r="AQ207" t="inlineStr">
        <is>
          <t>Yes</t>
        </is>
      </c>
      <c r="AR207">
        <f>HYPERLINK("http://catalog.hathitrust.org/Record/000606765","HathiTrust Record")</f>
        <v/>
      </c>
      <c r="AS207">
        <f>HYPERLINK("https://creighton-primo.hosted.exlibrisgroup.com/primo-explore/search?tab=default_tab&amp;search_scope=EVERYTHING&amp;vid=01CRU&amp;lang=en_US&amp;offset=0&amp;query=any,contains,991000454909702656","Catalog Record")</f>
        <v/>
      </c>
      <c r="AT207">
        <f>HYPERLINK("http://www.worldcat.org/oclc/77772","WorldCat Record")</f>
        <v/>
      </c>
      <c r="AU207" t="inlineStr">
        <is>
          <t>350940417:eng</t>
        </is>
      </c>
      <c r="AV207" t="inlineStr">
        <is>
          <t>77772</t>
        </is>
      </c>
      <c r="AW207" t="inlineStr">
        <is>
          <t>991000454909702656</t>
        </is>
      </c>
      <c r="AX207" t="inlineStr">
        <is>
          <t>991000454909702656</t>
        </is>
      </c>
      <c r="AY207" t="inlineStr">
        <is>
          <t>2256525050002656</t>
        </is>
      </c>
      <c r="AZ207" t="inlineStr">
        <is>
          <t>BOOK</t>
        </is>
      </c>
      <c r="BB207" t="inlineStr">
        <is>
          <t>9780520013919</t>
        </is>
      </c>
      <c r="BC207" t="inlineStr">
        <is>
          <t>32285000157320</t>
        </is>
      </c>
      <c r="BD207" t="inlineStr">
        <is>
          <t>893314935</t>
        </is>
      </c>
    </row>
    <row r="208">
      <c r="A208" t="inlineStr">
        <is>
          <t>No</t>
        </is>
      </c>
      <c r="B208" t="inlineStr">
        <is>
          <t>NA6830 .A85 1984</t>
        </is>
      </c>
      <c r="C208" t="inlineStr">
        <is>
          <t>0                      NA 6830000A  85          1984</t>
        </is>
      </c>
      <c r="D208" t="inlineStr">
        <is>
          <t>Space for dance : an architectural design guide / by Leslie Armstrong and Roger Morgan ; edited by Mike Lipske.</t>
        </is>
      </c>
      <c r="F208" t="inlineStr">
        <is>
          <t>No</t>
        </is>
      </c>
      <c r="G208" t="inlineStr">
        <is>
          <t>1</t>
        </is>
      </c>
      <c r="H208" t="inlineStr">
        <is>
          <t>No</t>
        </is>
      </c>
      <c r="I208" t="inlineStr">
        <is>
          <t>No</t>
        </is>
      </c>
      <c r="J208" t="inlineStr">
        <is>
          <t>0</t>
        </is>
      </c>
      <c r="K208" t="inlineStr">
        <is>
          <t>Armstrong, Leslie, 1940-</t>
        </is>
      </c>
      <c r="L208" t="inlineStr">
        <is>
          <t>New York : Pub. Center for Cultural Resources, 1984.</t>
        </is>
      </c>
      <c r="M208" t="inlineStr">
        <is>
          <t>1984</t>
        </is>
      </c>
      <c r="O208" t="inlineStr">
        <is>
          <t>eng</t>
        </is>
      </c>
      <c r="P208" t="inlineStr">
        <is>
          <t>nyu</t>
        </is>
      </c>
      <c r="R208" t="inlineStr">
        <is>
          <t xml:space="preserve">NA </t>
        </is>
      </c>
      <c r="S208" t="n">
        <v>2</v>
      </c>
      <c r="T208" t="n">
        <v>2</v>
      </c>
      <c r="U208" t="inlineStr">
        <is>
          <t>1995-04-18</t>
        </is>
      </c>
      <c r="V208" t="inlineStr">
        <is>
          <t>1995-04-18</t>
        </is>
      </c>
      <c r="W208" t="inlineStr">
        <is>
          <t>1993-05-14</t>
        </is>
      </c>
      <c r="X208" t="inlineStr">
        <is>
          <t>1993-05-14</t>
        </is>
      </c>
      <c r="Y208" t="n">
        <v>305</v>
      </c>
      <c r="Z208" t="n">
        <v>258</v>
      </c>
      <c r="AA208" t="n">
        <v>267</v>
      </c>
      <c r="AB208" t="n">
        <v>3</v>
      </c>
      <c r="AC208" t="n">
        <v>3</v>
      </c>
      <c r="AD208" t="n">
        <v>5</v>
      </c>
      <c r="AE208" t="n">
        <v>5</v>
      </c>
      <c r="AF208" t="n">
        <v>3</v>
      </c>
      <c r="AG208" t="n">
        <v>3</v>
      </c>
      <c r="AH208" t="n">
        <v>1</v>
      </c>
      <c r="AI208" t="n">
        <v>1</v>
      </c>
      <c r="AJ208" t="n">
        <v>0</v>
      </c>
      <c r="AK208" t="n">
        <v>0</v>
      </c>
      <c r="AL208" t="n">
        <v>2</v>
      </c>
      <c r="AM208" t="n">
        <v>2</v>
      </c>
      <c r="AN208" t="n">
        <v>0</v>
      </c>
      <c r="AO208" t="n">
        <v>0</v>
      </c>
      <c r="AP208" t="inlineStr">
        <is>
          <t>No</t>
        </is>
      </c>
      <c r="AQ208" t="inlineStr">
        <is>
          <t>Yes</t>
        </is>
      </c>
      <c r="AR208">
        <f>HYPERLINK("http://catalog.hathitrust.org/Record/000361675","HathiTrust Record")</f>
        <v/>
      </c>
      <c r="AS208">
        <f>HYPERLINK("https://creighton-primo.hosted.exlibrisgroup.com/primo-explore/search?tab=default_tab&amp;search_scope=EVERYTHING&amp;vid=01CRU&amp;lang=en_US&amp;offset=0&amp;query=any,contains,991000483169702656","Catalog Record")</f>
        <v/>
      </c>
      <c r="AT208">
        <f>HYPERLINK("http://www.worldcat.org/oclc/11067149","WorldCat Record")</f>
        <v/>
      </c>
      <c r="AU208" t="inlineStr">
        <is>
          <t>312597474:eng</t>
        </is>
      </c>
      <c r="AV208" t="inlineStr">
        <is>
          <t>11067149</t>
        </is>
      </c>
      <c r="AW208" t="inlineStr">
        <is>
          <t>991000483169702656</t>
        </is>
      </c>
      <c r="AX208" t="inlineStr">
        <is>
          <t>991000483169702656</t>
        </is>
      </c>
      <c r="AY208" t="inlineStr">
        <is>
          <t>2260940690002656</t>
        </is>
      </c>
      <c r="AZ208" t="inlineStr">
        <is>
          <t>BOOK</t>
        </is>
      </c>
      <c r="BC208" t="inlineStr">
        <is>
          <t>32285001658177</t>
        </is>
      </c>
      <c r="BD208" t="inlineStr">
        <is>
          <t>893884425</t>
        </is>
      </c>
    </row>
    <row r="209">
      <c r="A209" t="inlineStr">
        <is>
          <t>No</t>
        </is>
      </c>
      <c r="B209" t="inlineStr">
        <is>
          <t>NA6830 .S63 1980</t>
        </is>
      </c>
      <c r="C209" t="inlineStr">
        <is>
          <t>0                      NA 6830000S  63          1980</t>
        </is>
      </c>
      <c r="D209" t="inlineStr">
        <is>
          <t>Movie palaces / by Lucinda Smith ; with an introd. by King Vidor ; photos. by Ave Pildas.</t>
        </is>
      </c>
      <c r="F209" t="inlineStr">
        <is>
          <t>No</t>
        </is>
      </c>
      <c r="G209" t="inlineStr">
        <is>
          <t>1</t>
        </is>
      </c>
      <c r="H209" t="inlineStr">
        <is>
          <t>No</t>
        </is>
      </c>
      <c r="I209" t="inlineStr">
        <is>
          <t>No</t>
        </is>
      </c>
      <c r="J209" t="inlineStr">
        <is>
          <t>0</t>
        </is>
      </c>
      <c r="K209" t="inlineStr">
        <is>
          <t>Smith, Lucinda.</t>
        </is>
      </c>
      <c r="L209" t="inlineStr">
        <is>
          <t>New York : C. N. Potter : distributed by Crown Publishers, c1980.</t>
        </is>
      </c>
      <c r="M209" t="inlineStr">
        <is>
          <t>1980</t>
        </is>
      </c>
      <c r="O209" t="inlineStr">
        <is>
          <t>eng</t>
        </is>
      </c>
      <c r="P209" t="inlineStr">
        <is>
          <t>nyu</t>
        </is>
      </c>
      <c r="R209" t="inlineStr">
        <is>
          <t xml:space="preserve">NA </t>
        </is>
      </c>
      <c r="S209" t="n">
        <v>4</v>
      </c>
      <c r="T209" t="n">
        <v>4</v>
      </c>
      <c r="U209" t="inlineStr">
        <is>
          <t>2000-10-30</t>
        </is>
      </c>
      <c r="V209" t="inlineStr">
        <is>
          <t>2000-10-30</t>
        </is>
      </c>
      <c r="W209" t="inlineStr">
        <is>
          <t>1993-05-14</t>
        </is>
      </c>
      <c r="X209" t="inlineStr">
        <is>
          <t>1993-05-14</t>
        </is>
      </c>
      <c r="Y209" t="n">
        <v>489</v>
      </c>
      <c r="Z209" t="n">
        <v>429</v>
      </c>
      <c r="AA209" t="n">
        <v>473</v>
      </c>
      <c r="AB209" t="n">
        <v>2</v>
      </c>
      <c r="AC209" t="n">
        <v>2</v>
      </c>
      <c r="AD209" t="n">
        <v>11</v>
      </c>
      <c r="AE209" t="n">
        <v>12</v>
      </c>
      <c r="AF209" t="n">
        <v>5</v>
      </c>
      <c r="AG209" t="n">
        <v>5</v>
      </c>
      <c r="AH209" t="n">
        <v>0</v>
      </c>
      <c r="AI209" t="n">
        <v>1</v>
      </c>
      <c r="AJ209" t="n">
        <v>7</v>
      </c>
      <c r="AK209" t="n">
        <v>8</v>
      </c>
      <c r="AL209" t="n">
        <v>1</v>
      </c>
      <c r="AM209" t="n">
        <v>1</v>
      </c>
      <c r="AN209" t="n">
        <v>0</v>
      </c>
      <c r="AO209" t="n">
        <v>0</v>
      </c>
      <c r="AP209" t="inlineStr">
        <is>
          <t>No</t>
        </is>
      </c>
      <c r="AQ209" t="inlineStr">
        <is>
          <t>Yes</t>
        </is>
      </c>
      <c r="AR209">
        <f>HYPERLINK("http://catalog.hathitrust.org/Record/000227568","HathiTrust Record")</f>
        <v/>
      </c>
      <c r="AS209">
        <f>HYPERLINK("https://creighton-primo.hosted.exlibrisgroup.com/primo-explore/search?tab=default_tab&amp;search_scope=EVERYTHING&amp;vid=01CRU&amp;lang=en_US&amp;offset=0&amp;query=any,contains,991004741309702656","Catalog Record")</f>
        <v/>
      </c>
      <c r="AT209">
        <f>HYPERLINK("http://www.worldcat.org/oclc/4883751","WorldCat Record")</f>
        <v/>
      </c>
      <c r="AU209" t="inlineStr">
        <is>
          <t>15077279:eng</t>
        </is>
      </c>
      <c r="AV209" t="inlineStr">
        <is>
          <t>4883751</t>
        </is>
      </c>
      <c r="AW209" t="inlineStr">
        <is>
          <t>991004741309702656</t>
        </is>
      </c>
      <c r="AX209" t="inlineStr">
        <is>
          <t>991004741309702656</t>
        </is>
      </c>
      <c r="AY209" t="inlineStr">
        <is>
          <t>2264039820002656</t>
        </is>
      </c>
      <c r="AZ209" t="inlineStr">
        <is>
          <t>BOOK</t>
        </is>
      </c>
      <c r="BB209" t="inlineStr">
        <is>
          <t>9780517538579</t>
        </is>
      </c>
      <c r="BC209" t="inlineStr">
        <is>
          <t>32285001658185</t>
        </is>
      </c>
      <c r="BD209" t="inlineStr">
        <is>
          <t>893247923</t>
        </is>
      </c>
    </row>
    <row r="210">
      <c r="A210" t="inlineStr">
        <is>
          <t>No</t>
        </is>
      </c>
      <c r="B210" t="inlineStr">
        <is>
          <t>NA6840.G7 L4 1973</t>
        </is>
      </c>
      <c r="C210" t="inlineStr">
        <is>
          <t>0                      NA 6840000G  7                  L  4           1973</t>
        </is>
      </c>
      <c r="D210" t="inlineStr">
        <is>
          <t>The development of the English playhouse.</t>
        </is>
      </c>
      <c r="F210" t="inlineStr">
        <is>
          <t>No</t>
        </is>
      </c>
      <c r="G210" t="inlineStr">
        <is>
          <t>1</t>
        </is>
      </c>
      <c r="H210" t="inlineStr">
        <is>
          <t>No</t>
        </is>
      </c>
      <c r="I210" t="inlineStr">
        <is>
          <t>No</t>
        </is>
      </c>
      <c r="J210" t="inlineStr">
        <is>
          <t>0</t>
        </is>
      </c>
      <c r="K210" t="inlineStr">
        <is>
          <t>Leacroft, Richard.</t>
        </is>
      </c>
      <c r="L210" t="inlineStr">
        <is>
          <t>London : E. Methuen, [1973]</t>
        </is>
      </c>
      <c r="M210" t="inlineStr">
        <is>
          <t>1973</t>
        </is>
      </c>
      <c r="O210" t="inlineStr">
        <is>
          <t>eng</t>
        </is>
      </c>
      <c r="P210" t="inlineStr">
        <is>
          <t>enk</t>
        </is>
      </c>
      <c r="R210" t="inlineStr">
        <is>
          <t xml:space="preserve">NA </t>
        </is>
      </c>
      <c r="S210" t="n">
        <v>2</v>
      </c>
      <c r="T210" t="n">
        <v>2</v>
      </c>
      <c r="U210" t="inlineStr">
        <is>
          <t>2004-10-04</t>
        </is>
      </c>
      <c r="V210" t="inlineStr">
        <is>
          <t>2004-10-04</t>
        </is>
      </c>
      <c r="W210" t="inlineStr">
        <is>
          <t>1992-11-02</t>
        </is>
      </c>
      <c r="X210" t="inlineStr">
        <is>
          <t>1992-11-02</t>
        </is>
      </c>
      <c r="Y210" t="n">
        <v>247</v>
      </c>
      <c r="Z210" t="n">
        <v>67</v>
      </c>
      <c r="AA210" t="n">
        <v>788</v>
      </c>
      <c r="AB210" t="n">
        <v>1</v>
      </c>
      <c r="AC210" t="n">
        <v>7</v>
      </c>
      <c r="AD210" t="n">
        <v>2</v>
      </c>
      <c r="AE210" t="n">
        <v>40</v>
      </c>
      <c r="AF210" t="n">
        <v>0</v>
      </c>
      <c r="AG210" t="n">
        <v>16</v>
      </c>
      <c r="AH210" t="n">
        <v>0</v>
      </c>
      <c r="AI210" t="n">
        <v>9</v>
      </c>
      <c r="AJ210" t="n">
        <v>2</v>
      </c>
      <c r="AK210" t="n">
        <v>19</v>
      </c>
      <c r="AL210" t="n">
        <v>0</v>
      </c>
      <c r="AM210" t="n">
        <v>6</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HYPERLINK("https://creighton-primo.hosted.exlibrisgroup.com/primo-explore/search?tab=default_tab&amp;search_scope=EVERYTHING&amp;vid=01CRU&amp;lang=en_US&amp;offset=0&amp;query=any,contains,991004227679702656","Catalog Record")</f>
        <v/>
      </c>
      <c r="AT210">
        <f>HYPERLINK("http://www.worldcat.org/oclc/2736220","WorldCat Record")</f>
        <v/>
      </c>
      <c r="AU210" t="inlineStr">
        <is>
          <t>1448351:eng</t>
        </is>
      </c>
      <c r="AV210" t="inlineStr">
        <is>
          <t>2736220</t>
        </is>
      </c>
      <c r="AW210" t="inlineStr">
        <is>
          <t>991004227679702656</t>
        </is>
      </c>
      <c r="AX210" t="inlineStr">
        <is>
          <t>991004227679702656</t>
        </is>
      </c>
      <c r="AY210" t="inlineStr">
        <is>
          <t>2257672860002656</t>
        </is>
      </c>
      <c r="AZ210" t="inlineStr">
        <is>
          <t>BOOK</t>
        </is>
      </c>
      <c r="BB210" t="inlineStr">
        <is>
          <t>9780413288202</t>
        </is>
      </c>
      <c r="BC210" t="inlineStr">
        <is>
          <t>32285001380020</t>
        </is>
      </c>
      <c r="BD210" t="inlineStr">
        <is>
          <t>893325096</t>
        </is>
      </c>
    </row>
    <row r="211">
      <c r="A211" t="inlineStr">
        <is>
          <t>No</t>
        </is>
      </c>
      <c r="B211" t="inlineStr">
        <is>
          <t>NA6840.G7 S5</t>
        </is>
      </c>
      <c r="C211" t="inlineStr">
        <is>
          <t>0                      NA 6840000G  7                  S  5</t>
        </is>
      </c>
      <c r="D211" t="inlineStr">
        <is>
          <t>Shakespeare's Globe Playhouse : a modern reconstruction in text and scale drawings / by Irwin Smith. Based upon the reconstruction of the Globe by John Cranford Adams. With an introd. by James G. McManaway.</t>
        </is>
      </c>
      <c r="F211" t="inlineStr">
        <is>
          <t>No</t>
        </is>
      </c>
      <c r="G211" t="inlineStr">
        <is>
          <t>1</t>
        </is>
      </c>
      <c r="H211" t="inlineStr">
        <is>
          <t>No</t>
        </is>
      </c>
      <c r="I211" t="inlineStr">
        <is>
          <t>No</t>
        </is>
      </c>
      <c r="J211" t="inlineStr">
        <is>
          <t>0</t>
        </is>
      </c>
      <c r="K211" t="inlineStr">
        <is>
          <t>Smith, Irwin, 1892-1977.</t>
        </is>
      </c>
      <c r="L211" t="inlineStr">
        <is>
          <t>New York : Scribner, [1956]</t>
        </is>
      </c>
      <c r="M211" t="inlineStr">
        <is>
          <t>1956</t>
        </is>
      </c>
      <c r="O211" t="inlineStr">
        <is>
          <t>eng</t>
        </is>
      </c>
      <c r="P211" t="inlineStr">
        <is>
          <t>nyu</t>
        </is>
      </c>
      <c r="R211" t="inlineStr">
        <is>
          <t xml:space="preserve">NA </t>
        </is>
      </c>
      <c r="S211" t="n">
        <v>5</v>
      </c>
      <c r="T211" t="n">
        <v>5</v>
      </c>
      <c r="U211" t="inlineStr">
        <is>
          <t>2008-08-26</t>
        </is>
      </c>
      <c r="V211" t="inlineStr">
        <is>
          <t>2008-08-26</t>
        </is>
      </c>
      <c r="W211" t="inlineStr">
        <is>
          <t>1990-02-24</t>
        </is>
      </c>
      <c r="X211" t="inlineStr">
        <is>
          <t>1990-02-24</t>
        </is>
      </c>
      <c r="Y211" t="n">
        <v>1506</v>
      </c>
      <c r="Z211" t="n">
        <v>1408</v>
      </c>
      <c r="AA211" t="n">
        <v>1420</v>
      </c>
      <c r="AB211" t="n">
        <v>8</v>
      </c>
      <c r="AC211" t="n">
        <v>8</v>
      </c>
      <c r="AD211" t="n">
        <v>46</v>
      </c>
      <c r="AE211" t="n">
        <v>46</v>
      </c>
      <c r="AF211" t="n">
        <v>21</v>
      </c>
      <c r="AG211" t="n">
        <v>21</v>
      </c>
      <c r="AH211" t="n">
        <v>9</v>
      </c>
      <c r="AI211" t="n">
        <v>9</v>
      </c>
      <c r="AJ211" t="n">
        <v>21</v>
      </c>
      <c r="AK211" t="n">
        <v>21</v>
      </c>
      <c r="AL211" t="n">
        <v>6</v>
      </c>
      <c r="AM211" t="n">
        <v>6</v>
      </c>
      <c r="AN211" t="n">
        <v>0</v>
      </c>
      <c r="AO211" t="n">
        <v>0</v>
      </c>
      <c r="AP211" t="inlineStr">
        <is>
          <t>No</t>
        </is>
      </c>
      <c r="AQ211" t="inlineStr">
        <is>
          <t>No</t>
        </is>
      </c>
      <c r="AR211">
        <f>HYPERLINK("http://catalog.hathitrust.org/Record/000607531","HathiTrust Record")</f>
        <v/>
      </c>
      <c r="AS211">
        <f>HYPERLINK("https://creighton-primo.hosted.exlibrisgroup.com/primo-explore/search?tab=default_tab&amp;search_scope=EVERYTHING&amp;vid=01CRU&amp;lang=en_US&amp;offset=0&amp;query=any,contains,991001563789702656","Catalog Record")</f>
        <v/>
      </c>
      <c r="AT211">
        <f>HYPERLINK("http://www.worldcat.org/oclc/232708","WorldCat Record")</f>
        <v/>
      </c>
      <c r="AU211" t="inlineStr">
        <is>
          <t>1083441491:eng</t>
        </is>
      </c>
      <c r="AV211" t="inlineStr">
        <is>
          <t>232708</t>
        </is>
      </c>
      <c r="AW211" t="inlineStr">
        <is>
          <t>991001563789702656</t>
        </is>
      </c>
      <c r="AX211" t="inlineStr">
        <is>
          <t>991001563789702656</t>
        </is>
      </c>
      <c r="AY211" t="inlineStr">
        <is>
          <t>2258597740002656</t>
        </is>
      </c>
      <c r="AZ211" t="inlineStr">
        <is>
          <t>BOOK</t>
        </is>
      </c>
      <c r="BC211" t="inlineStr">
        <is>
          <t>32285000061613</t>
        </is>
      </c>
      <c r="BD211" t="inlineStr">
        <is>
          <t>893608949</t>
        </is>
      </c>
    </row>
    <row r="212">
      <c r="A212" t="inlineStr">
        <is>
          <t>No</t>
        </is>
      </c>
      <c r="B212" t="inlineStr">
        <is>
          <t>NA702 .D3 1963</t>
        </is>
      </c>
      <c r="C212" t="inlineStr">
        <is>
          <t>0                      NA 0702000D  3           1963</t>
        </is>
      </c>
      <c r="D212" t="inlineStr">
        <is>
          <t>Art in Latin American architecture / Paul F. Damaz ; preface by Oscar Niemeyer.</t>
        </is>
      </c>
      <c r="F212" t="inlineStr">
        <is>
          <t>No</t>
        </is>
      </c>
      <c r="G212" t="inlineStr">
        <is>
          <t>1</t>
        </is>
      </c>
      <c r="H212" t="inlineStr">
        <is>
          <t>No</t>
        </is>
      </c>
      <c r="I212" t="inlineStr">
        <is>
          <t>No</t>
        </is>
      </c>
      <c r="J212" t="inlineStr">
        <is>
          <t>0</t>
        </is>
      </c>
      <c r="K212" t="inlineStr">
        <is>
          <t>Damaz, Paul F.</t>
        </is>
      </c>
      <c r="L212" t="inlineStr">
        <is>
          <t>New York : Reinhold, ; [1963]</t>
        </is>
      </c>
      <c r="M212" t="inlineStr">
        <is>
          <t>1963</t>
        </is>
      </c>
      <c r="O212" t="inlineStr">
        <is>
          <t>eng</t>
        </is>
      </c>
      <c r="P212" t="inlineStr">
        <is>
          <t>nyu</t>
        </is>
      </c>
      <c r="R212" t="inlineStr">
        <is>
          <t xml:space="preserve">NA </t>
        </is>
      </c>
      <c r="S212" t="n">
        <v>4</v>
      </c>
      <c r="T212" t="n">
        <v>4</v>
      </c>
      <c r="U212" t="inlineStr">
        <is>
          <t>1998-02-23</t>
        </is>
      </c>
      <c r="V212" t="inlineStr">
        <is>
          <t>1998-02-23</t>
        </is>
      </c>
      <c r="W212" t="inlineStr">
        <is>
          <t>1994-06-20</t>
        </is>
      </c>
      <c r="X212" t="inlineStr">
        <is>
          <t>1994-06-20</t>
        </is>
      </c>
      <c r="Y212" t="n">
        <v>692</v>
      </c>
      <c r="Z212" t="n">
        <v>597</v>
      </c>
      <c r="AA212" t="n">
        <v>605</v>
      </c>
      <c r="AB212" t="n">
        <v>3</v>
      </c>
      <c r="AC212" t="n">
        <v>3</v>
      </c>
      <c r="AD212" t="n">
        <v>21</v>
      </c>
      <c r="AE212" t="n">
        <v>21</v>
      </c>
      <c r="AF212" t="n">
        <v>8</v>
      </c>
      <c r="AG212" t="n">
        <v>8</v>
      </c>
      <c r="AH212" t="n">
        <v>6</v>
      </c>
      <c r="AI212" t="n">
        <v>6</v>
      </c>
      <c r="AJ212" t="n">
        <v>8</v>
      </c>
      <c r="AK212" t="n">
        <v>8</v>
      </c>
      <c r="AL212" t="n">
        <v>2</v>
      </c>
      <c r="AM212" t="n">
        <v>2</v>
      </c>
      <c r="AN212" t="n">
        <v>0</v>
      </c>
      <c r="AO212" t="n">
        <v>0</v>
      </c>
      <c r="AP212" t="inlineStr">
        <is>
          <t>No</t>
        </is>
      </c>
      <c r="AQ212" t="inlineStr">
        <is>
          <t>No</t>
        </is>
      </c>
      <c r="AR212">
        <f>HYPERLINK("http://catalog.hathitrust.org/Record/000452127","HathiTrust Record")</f>
        <v/>
      </c>
      <c r="AS212">
        <f>HYPERLINK("https://creighton-primo.hosted.exlibrisgroup.com/primo-explore/search?tab=default_tab&amp;search_scope=EVERYTHING&amp;vid=01CRU&amp;lang=en_US&amp;offset=0&amp;query=any,contains,991002894449702656","Catalog Record")</f>
        <v/>
      </c>
      <c r="AT212">
        <f>HYPERLINK("http://www.worldcat.org/oclc/513283","WorldCat Record")</f>
        <v/>
      </c>
      <c r="AU212" t="inlineStr">
        <is>
          <t>3901265146:eng</t>
        </is>
      </c>
      <c r="AV212" t="inlineStr">
        <is>
          <t>513283</t>
        </is>
      </c>
      <c r="AW212" t="inlineStr">
        <is>
          <t>991002894449702656</t>
        </is>
      </c>
      <c r="AX212" t="inlineStr">
        <is>
          <t>991002894449702656</t>
        </is>
      </c>
      <c r="AY212" t="inlineStr">
        <is>
          <t>2260731070002656</t>
        </is>
      </c>
      <c r="AZ212" t="inlineStr">
        <is>
          <t>BOOK</t>
        </is>
      </c>
      <c r="BC212" t="inlineStr">
        <is>
          <t>32285001916401</t>
        </is>
      </c>
      <c r="BD212" t="inlineStr">
        <is>
          <t>893245784</t>
        </is>
      </c>
    </row>
    <row r="213">
      <c r="A213" t="inlineStr">
        <is>
          <t>No</t>
        </is>
      </c>
      <c r="B213" t="inlineStr">
        <is>
          <t>NA705 .A485 1986</t>
        </is>
      </c>
      <c r="C213" t="inlineStr">
        <is>
          <t>0                      NA 0705000A  485         1986</t>
        </is>
      </c>
      <c r="D213" t="inlineStr">
        <is>
          <t>America's architectural roots : ethnic groups that built America / edited by Dell Upton.</t>
        </is>
      </c>
      <c r="F213" t="inlineStr">
        <is>
          <t>No</t>
        </is>
      </c>
      <c r="G213" t="inlineStr">
        <is>
          <t>1</t>
        </is>
      </c>
      <c r="H213" t="inlineStr">
        <is>
          <t>No</t>
        </is>
      </c>
      <c r="I213" t="inlineStr">
        <is>
          <t>No</t>
        </is>
      </c>
      <c r="J213" t="inlineStr">
        <is>
          <t>0</t>
        </is>
      </c>
      <c r="L213" t="inlineStr">
        <is>
          <t>Washington, D.C. : Preservation Press, c1986.</t>
        </is>
      </c>
      <c r="M213" t="inlineStr">
        <is>
          <t>1986</t>
        </is>
      </c>
      <c r="O213" t="inlineStr">
        <is>
          <t>eng</t>
        </is>
      </c>
      <c r="P213" t="inlineStr">
        <is>
          <t>dcu</t>
        </is>
      </c>
      <c r="Q213" t="inlineStr">
        <is>
          <t>Building watchers series</t>
        </is>
      </c>
      <c r="R213" t="inlineStr">
        <is>
          <t xml:space="preserve">NA </t>
        </is>
      </c>
      <c r="S213" t="n">
        <v>4</v>
      </c>
      <c r="T213" t="n">
        <v>4</v>
      </c>
      <c r="U213" t="inlineStr">
        <is>
          <t>2001-02-19</t>
        </is>
      </c>
      <c r="V213" t="inlineStr">
        <is>
          <t>2001-02-19</t>
        </is>
      </c>
      <c r="W213" t="inlineStr">
        <is>
          <t>1993-05-13</t>
        </is>
      </c>
      <c r="X213" t="inlineStr">
        <is>
          <t>1993-05-13</t>
        </is>
      </c>
      <c r="Y213" t="n">
        <v>728</v>
      </c>
      <c r="Z213" t="n">
        <v>672</v>
      </c>
      <c r="AA213" t="n">
        <v>715</v>
      </c>
      <c r="AB213" t="n">
        <v>6</v>
      </c>
      <c r="AC213" t="n">
        <v>7</v>
      </c>
      <c r="AD213" t="n">
        <v>11</v>
      </c>
      <c r="AE213" t="n">
        <v>11</v>
      </c>
      <c r="AF213" t="n">
        <v>3</v>
      </c>
      <c r="AG213" t="n">
        <v>3</v>
      </c>
      <c r="AH213" t="n">
        <v>2</v>
      </c>
      <c r="AI213" t="n">
        <v>2</v>
      </c>
      <c r="AJ213" t="n">
        <v>6</v>
      </c>
      <c r="AK213" t="n">
        <v>6</v>
      </c>
      <c r="AL213" t="n">
        <v>1</v>
      </c>
      <c r="AM213" t="n">
        <v>1</v>
      </c>
      <c r="AN213" t="n">
        <v>0</v>
      </c>
      <c r="AO213" t="n">
        <v>0</v>
      </c>
      <c r="AP213" t="inlineStr">
        <is>
          <t>No</t>
        </is>
      </c>
      <c r="AQ213" t="inlineStr">
        <is>
          <t>Yes</t>
        </is>
      </c>
      <c r="AR213">
        <f>HYPERLINK("http://catalog.hathitrust.org/Record/000821254","HathiTrust Record")</f>
        <v/>
      </c>
      <c r="AS213">
        <f>HYPERLINK("https://creighton-primo.hosted.exlibrisgroup.com/primo-explore/search?tab=default_tab&amp;search_scope=EVERYTHING&amp;vid=01CRU&amp;lang=en_US&amp;offset=0&amp;query=any,contains,991000926519702656","Catalog Record")</f>
        <v/>
      </c>
      <c r="AT213">
        <f>HYPERLINK("http://www.worldcat.org/oclc/14240611","WorldCat Record")</f>
        <v/>
      </c>
      <c r="AU213" t="inlineStr">
        <is>
          <t>836672114:eng</t>
        </is>
      </c>
      <c r="AV213" t="inlineStr">
        <is>
          <t>14240611</t>
        </is>
      </c>
      <c r="AW213" t="inlineStr">
        <is>
          <t>991000926519702656</t>
        </is>
      </c>
      <c r="AX213" t="inlineStr">
        <is>
          <t>991000926519702656</t>
        </is>
      </c>
      <c r="AY213" t="inlineStr">
        <is>
          <t>2258654870002656</t>
        </is>
      </c>
      <c r="AZ213" t="inlineStr">
        <is>
          <t>BOOK</t>
        </is>
      </c>
      <c r="BB213" t="inlineStr">
        <is>
          <t>9780891331230</t>
        </is>
      </c>
      <c r="BC213" t="inlineStr">
        <is>
          <t>32285001654572</t>
        </is>
      </c>
      <c r="BD213" t="inlineStr">
        <is>
          <t>893407661</t>
        </is>
      </c>
    </row>
    <row r="214">
      <c r="A214" t="inlineStr">
        <is>
          <t>No</t>
        </is>
      </c>
      <c r="B214" t="inlineStr">
        <is>
          <t>NA705 .A5 1978</t>
        </is>
      </c>
      <c r="C214" t="inlineStr">
        <is>
          <t>0                      NA 0705000A  5           1978</t>
        </is>
      </c>
      <c r="D214" t="inlineStr">
        <is>
          <t>Architecture, ambition, and Americans : a social history of American architecture / Wayne Andrews.</t>
        </is>
      </c>
      <c r="F214" t="inlineStr">
        <is>
          <t>No</t>
        </is>
      </c>
      <c r="G214" t="inlineStr">
        <is>
          <t>1</t>
        </is>
      </c>
      <c r="H214" t="inlineStr">
        <is>
          <t>No</t>
        </is>
      </c>
      <c r="I214" t="inlineStr">
        <is>
          <t>No</t>
        </is>
      </c>
      <c r="J214" t="inlineStr">
        <is>
          <t>0</t>
        </is>
      </c>
      <c r="K214" t="inlineStr">
        <is>
          <t>Andrews, Wayne.</t>
        </is>
      </c>
      <c r="L214" t="inlineStr">
        <is>
          <t>New York : Free Press, c1978.</t>
        </is>
      </c>
      <c r="M214" t="inlineStr">
        <is>
          <t>1978</t>
        </is>
      </c>
      <c r="N214" t="inlineStr">
        <is>
          <t>Rev. ed.</t>
        </is>
      </c>
      <c r="O214" t="inlineStr">
        <is>
          <t>eng</t>
        </is>
      </c>
      <c r="P214" t="inlineStr">
        <is>
          <t>nyu</t>
        </is>
      </c>
      <c r="R214" t="inlineStr">
        <is>
          <t xml:space="preserve">NA </t>
        </is>
      </c>
      <c r="S214" t="n">
        <v>11</v>
      </c>
      <c r="T214" t="n">
        <v>11</v>
      </c>
      <c r="U214" t="inlineStr">
        <is>
          <t>2003-04-25</t>
        </is>
      </c>
      <c r="V214" t="inlineStr">
        <is>
          <t>2003-04-25</t>
        </is>
      </c>
      <c r="W214" t="inlineStr">
        <is>
          <t>1992-04-03</t>
        </is>
      </c>
      <c r="X214" t="inlineStr">
        <is>
          <t>1992-04-03</t>
        </is>
      </c>
      <c r="Y214" t="n">
        <v>730</v>
      </c>
      <c r="Z214" t="n">
        <v>647</v>
      </c>
      <c r="AA214" t="n">
        <v>965</v>
      </c>
      <c r="AB214" t="n">
        <v>3</v>
      </c>
      <c r="AC214" t="n">
        <v>5</v>
      </c>
      <c r="AD214" t="n">
        <v>15</v>
      </c>
      <c r="AE214" t="n">
        <v>30</v>
      </c>
      <c r="AF214" t="n">
        <v>5</v>
      </c>
      <c r="AG214" t="n">
        <v>14</v>
      </c>
      <c r="AH214" t="n">
        <v>3</v>
      </c>
      <c r="AI214" t="n">
        <v>3</v>
      </c>
      <c r="AJ214" t="n">
        <v>10</v>
      </c>
      <c r="AK214" t="n">
        <v>17</v>
      </c>
      <c r="AL214" t="n">
        <v>2</v>
      </c>
      <c r="AM214" t="n">
        <v>4</v>
      </c>
      <c r="AN214" t="n">
        <v>0</v>
      </c>
      <c r="AO214" t="n">
        <v>0</v>
      </c>
      <c r="AP214" t="inlineStr">
        <is>
          <t>No</t>
        </is>
      </c>
      <c r="AQ214" t="inlineStr">
        <is>
          <t>Yes</t>
        </is>
      </c>
      <c r="AR214">
        <f>HYPERLINK("http://catalog.hathitrust.org/Record/000135476","HathiTrust Record")</f>
        <v/>
      </c>
      <c r="AS214">
        <f>HYPERLINK("https://creighton-primo.hosted.exlibrisgroup.com/primo-explore/search?tab=default_tab&amp;search_scope=EVERYTHING&amp;vid=01CRU&amp;lang=en_US&amp;offset=0&amp;query=any,contains,991004528639702656","Catalog Record")</f>
        <v/>
      </c>
      <c r="AT214">
        <f>HYPERLINK("http://www.worldcat.org/oclc/3844402","WorldCat Record")</f>
        <v/>
      </c>
      <c r="AU214" t="inlineStr">
        <is>
          <t>400341:eng</t>
        </is>
      </c>
      <c r="AV214" t="inlineStr">
        <is>
          <t>3844402</t>
        </is>
      </c>
      <c r="AW214" t="inlineStr">
        <is>
          <t>991004528639702656</t>
        </is>
      </c>
      <c r="AX214" t="inlineStr">
        <is>
          <t>991004528639702656</t>
        </is>
      </c>
      <c r="AY214" t="inlineStr">
        <is>
          <t>2264746960002656</t>
        </is>
      </c>
      <c r="AZ214" t="inlineStr">
        <is>
          <t>BOOK</t>
        </is>
      </c>
      <c r="BB214" t="inlineStr">
        <is>
          <t>9780029007709</t>
        </is>
      </c>
      <c r="BC214" t="inlineStr">
        <is>
          <t>32285001048312</t>
        </is>
      </c>
      <c r="BD214" t="inlineStr">
        <is>
          <t>893801056</t>
        </is>
      </c>
    </row>
    <row r="215">
      <c r="A215" t="inlineStr">
        <is>
          <t>No</t>
        </is>
      </c>
      <c r="B215" t="inlineStr">
        <is>
          <t>NA705 .B76 1985</t>
        </is>
      </c>
      <c r="C215" t="inlineStr">
        <is>
          <t>0                      NA 0705000B  76          1985</t>
        </is>
      </c>
      <c r="D215" t="inlineStr">
        <is>
          <t>Built in the U.S.A. : American buildings from airports to zoos / edited by Diane Maddex (National Trust for Historic Preservation).</t>
        </is>
      </c>
      <c r="F215" t="inlineStr">
        <is>
          <t>No</t>
        </is>
      </c>
      <c r="G215" t="inlineStr">
        <is>
          <t>1</t>
        </is>
      </c>
      <c r="H215" t="inlineStr">
        <is>
          <t>No</t>
        </is>
      </c>
      <c r="I215" t="inlineStr">
        <is>
          <t>No</t>
        </is>
      </c>
      <c r="J215" t="inlineStr">
        <is>
          <t>0</t>
        </is>
      </c>
      <c r="L215" t="inlineStr">
        <is>
          <t>Washington, D.C. : Preservation Press, c1985.</t>
        </is>
      </c>
      <c r="M215" t="inlineStr">
        <is>
          <t>1985</t>
        </is>
      </c>
      <c r="O215" t="inlineStr">
        <is>
          <t>eng</t>
        </is>
      </c>
      <c r="P215" t="inlineStr">
        <is>
          <t>dcu</t>
        </is>
      </c>
      <c r="Q215" t="inlineStr">
        <is>
          <t>Building watchers series</t>
        </is>
      </c>
      <c r="R215" t="inlineStr">
        <is>
          <t xml:space="preserve">NA </t>
        </is>
      </c>
      <c r="S215" t="n">
        <v>2</v>
      </c>
      <c r="T215" t="n">
        <v>2</v>
      </c>
      <c r="U215" t="inlineStr">
        <is>
          <t>2003-04-25</t>
        </is>
      </c>
      <c r="V215" t="inlineStr">
        <is>
          <t>2003-04-25</t>
        </is>
      </c>
      <c r="W215" t="inlineStr">
        <is>
          <t>1993-05-28</t>
        </is>
      </c>
      <c r="X215" t="inlineStr">
        <is>
          <t>1993-05-28</t>
        </is>
      </c>
      <c r="Y215" t="n">
        <v>662</v>
      </c>
      <c r="Z215" t="n">
        <v>603</v>
      </c>
      <c r="AA215" t="n">
        <v>609</v>
      </c>
      <c r="AB215" t="n">
        <v>6</v>
      </c>
      <c r="AC215" t="n">
        <v>6</v>
      </c>
      <c r="AD215" t="n">
        <v>10</v>
      </c>
      <c r="AE215" t="n">
        <v>10</v>
      </c>
      <c r="AF215" t="n">
        <v>3</v>
      </c>
      <c r="AG215" t="n">
        <v>3</v>
      </c>
      <c r="AH215" t="n">
        <v>1</v>
      </c>
      <c r="AI215" t="n">
        <v>1</v>
      </c>
      <c r="AJ215" t="n">
        <v>6</v>
      </c>
      <c r="AK215" t="n">
        <v>6</v>
      </c>
      <c r="AL215" t="n">
        <v>2</v>
      </c>
      <c r="AM215" t="n">
        <v>2</v>
      </c>
      <c r="AN215" t="n">
        <v>0</v>
      </c>
      <c r="AO215" t="n">
        <v>0</v>
      </c>
      <c r="AP215" t="inlineStr">
        <is>
          <t>No</t>
        </is>
      </c>
      <c r="AQ215" t="inlineStr">
        <is>
          <t>Yes</t>
        </is>
      </c>
      <c r="AR215">
        <f>HYPERLINK("http://catalog.hathitrust.org/Record/000562987","HathiTrust Record")</f>
        <v/>
      </c>
      <c r="AS215">
        <f>HYPERLINK("https://creighton-primo.hosted.exlibrisgroup.com/primo-explore/search?tab=default_tab&amp;search_scope=EVERYTHING&amp;vid=01CRU&amp;lang=en_US&amp;offset=0&amp;query=any,contains,991000549529702656","Catalog Record")</f>
        <v/>
      </c>
      <c r="AT215">
        <f>HYPERLINK("http://www.worldcat.org/oclc/11532310","WorldCat Record")</f>
        <v/>
      </c>
      <c r="AU215" t="inlineStr">
        <is>
          <t>195513244:eng</t>
        </is>
      </c>
      <c r="AV215" t="inlineStr">
        <is>
          <t>11532310</t>
        </is>
      </c>
      <c r="AW215" t="inlineStr">
        <is>
          <t>991000549529702656</t>
        </is>
      </c>
      <c r="AX215" t="inlineStr">
        <is>
          <t>991000549529702656</t>
        </is>
      </c>
      <c r="AY215" t="inlineStr">
        <is>
          <t>2261442550002656</t>
        </is>
      </c>
      <c r="AZ215" t="inlineStr">
        <is>
          <t>BOOK</t>
        </is>
      </c>
      <c r="BB215" t="inlineStr">
        <is>
          <t>9780891331186</t>
        </is>
      </c>
      <c r="BC215" t="inlineStr">
        <is>
          <t>32285001668960</t>
        </is>
      </c>
      <c r="BD215" t="inlineStr">
        <is>
          <t>893432065</t>
        </is>
      </c>
    </row>
    <row r="216">
      <c r="A216" t="inlineStr">
        <is>
          <t>No</t>
        </is>
      </c>
      <c r="B216" t="inlineStr">
        <is>
          <t>NA705 .F512 1966</t>
        </is>
      </c>
      <c r="C216" t="inlineStr">
        <is>
          <t>0                      NA 0705000F  512         1966</t>
        </is>
      </c>
      <c r="D216" t="inlineStr">
        <is>
          <t>American building / by James Marston Fitch.</t>
        </is>
      </c>
      <c r="E216" t="inlineStr">
        <is>
          <t>V.2</t>
        </is>
      </c>
      <c r="F216" t="inlineStr">
        <is>
          <t>Yes</t>
        </is>
      </c>
      <c r="G216" t="inlineStr">
        <is>
          <t>1</t>
        </is>
      </c>
      <c r="H216" t="inlineStr">
        <is>
          <t>No</t>
        </is>
      </c>
      <c r="I216" t="inlineStr">
        <is>
          <t>No</t>
        </is>
      </c>
      <c r="J216" t="inlineStr">
        <is>
          <t>0</t>
        </is>
      </c>
      <c r="K216" t="inlineStr">
        <is>
          <t>Fitch, James Marston.</t>
        </is>
      </c>
      <c r="L216" t="inlineStr">
        <is>
          <t>Boston : Houghton Mifflin, 1966-1972.</t>
        </is>
      </c>
      <c r="M216" t="inlineStr">
        <is>
          <t>1966</t>
        </is>
      </c>
      <c r="N216" t="inlineStr">
        <is>
          <t>2d ed., rev. and enl.</t>
        </is>
      </c>
      <c r="O216" t="inlineStr">
        <is>
          <t>eng</t>
        </is>
      </c>
      <c r="P216" t="inlineStr">
        <is>
          <t>mau</t>
        </is>
      </c>
      <c r="R216" t="inlineStr">
        <is>
          <t xml:space="preserve">NA </t>
        </is>
      </c>
      <c r="S216" t="n">
        <v>1</v>
      </c>
      <c r="T216" t="n">
        <v>6</v>
      </c>
      <c r="V216" t="inlineStr">
        <is>
          <t>2003-04-25</t>
        </is>
      </c>
      <c r="W216" t="inlineStr">
        <is>
          <t>1993-04-15</t>
        </is>
      </c>
      <c r="X216" t="inlineStr">
        <is>
          <t>1993-04-15</t>
        </is>
      </c>
      <c r="Y216" t="n">
        <v>945</v>
      </c>
      <c r="Z216" t="n">
        <v>881</v>
      </c>
      <c r="AA216" t="n">
        <v>899</v>
      </c>
      <c r="AB216" t="n">
        <v>4</v>
      </c>
      <c r="AC216" t="n">
        <v>4</v>
      </c>
      <c r="AD216" t="n">
        <v>31</v>
      </c>
      <c r="AE216" t="n">
        <v>31</v>
      </c>
      <c r="AF216" t="n">
        <v>15</v>
      </c>
      <c r="AG216" t="n">
        <v>15</v>
      </c>
      <c r="AH216" t="n">
        <v>6</v>
      </c>
      <c r="AI216" t="n">
        <v>6</v>
      </c>
      <c r="AJ216" t="n">
        <v>17</v>
      </c>
      <c r="AK216" t="n">
        <v>17</v>
      </c>
      <c r="AL216" t="n">
        <v>2</v>
      </c>
      <c r="AM216" t="n">
        <v>2</v>
      </c>
      <c r="AN216" t="n">
        <v>0</v>
      </c>
      <c r="AO216" t="n">
        <v>0</v>
      </c>
      <c r="AP216" t="inlineStr">
        <is>
          <t>No</t>
        </is>
      </c>
      <c r="AQ216" t="inlineStr">
        <is>
          <t>Yes</t>
        </is>
      </c>
      <c r="AR216">
        <f>HYPERLINK("http://catalog.hathitrust.org/Record/000314442","HathiTrust Record")</f>
        <v/>
      </c>
      <c r="AS216">
        <f>HYPERLINK("https://creighton-primo.hosted.exlibrisgroup.com/primo-explore/search?tab=default_tab&amp;search_scope=EVERYTHING&amp;vid=01CRU&amp;lang=en_US&amp;offset=0&amp;query=any,contains,991002128809702656","Catalog Record")</f>
        <v/>
      </c>
      <c r="AT216">
        <f>HYPERLINK("http://www.worldcat.org/oclc/269569","WorldCat Record")</f>
        <v/>
      </c>
      <c r="AU216" t="inlineStr">
        <is>
          <t>9622235141:eng</t>
        </is>
      </c>
      <c r="AV216" t="inlineStr">
        <is>
          <t>269569</t>
        </is>
      </c>
      <c r="AW216" t="inlineStr">
        <is>
          <t>991002128809702656</t>
        </is>
      </c>
      <c r="AX216" t="inlineStr">
        <is>
          <t>991002128809702656</t>
        </is>
      </c>
      <c r="AY216" t="inlineStr">
        <is>
          <t>2267472760002656</t>
        </is>
      </c>
      <c r="AZ216" t="inlineStr">
        <is>
          <t>BOOK</t>
        </is>
      </c>
      <c r="BC216" t="inlineStr">
        <is>
          <t>32285001620276</t>
        </is>
      </c>
      <c r="BD216" t="inlineStr">
        <is>
          <t>893721295</t>
        </is>
      </c>
    </row>
    <row r="217">
      <c r="A217" t="inlineStr">
        <is>
          <t>No</t>
        </is>
      </c>
      <c r="B217" t="inlineStr">
        <is>
          <t>NA705 .F512 1966</t>
        </is>
      </c>
      <c r="C217" t="inlineStr">
        <is>
          <t>0                      NA 0705000F  512         1966</t>
        </is>
      </c>
      <c r="D217" t="inlineStr">
        <is>
          <t>American building / by James Marston Fitch.</t>
        </is>
      </c>
      <c r="E217" t="inlineStr">
        <is>
          <t>V.1</t>
        </is>
      </c>
      <c r="F217" t="inlineStr">
        <is>
          <t>Yes</t>
        </is>
      </c>
      <c r="G217" t="inlineStr">
        <is>
          <t>1</t>
        </is>
      </c>
      <c r="H217" t="inlineStr">
        <is>
          <t>No</t>
        </is>
      </c>
      <c r="I217" t="inlineStr">
        <is>
          <t>No</t>
        </is>
      </c>
      <c r="J217" t="inlineStr">
        <is>
          <t>0</t>
        </is>
      </c>
      <c r="K217" t="inlineStr">
        <is>
          <t>Fitch, James Marston.</t>
        </is>
      </c>
      <c r="L217" t="inlineStr">
        <is>
          <t>Boston : Houghton Mifflin, 1966-1972.</t>
        </is>
      </c>
      <c r="M217" t="inlineStr">
        <is>
          <t>1966</t>
        </is>
      </c>
      <c r="N217" t="inlineStr">
        <is>
          <t>2d ed., rev. and enl.</t>
        </is>
      </c>
      <c r="O217" t="inlineStr">
        <is>
          <t>eng</t>
        </is>
      </c>
      <c r="P217" t="inlineStr">
        <is>
          <t>mau</t>
        </is>
      </c>
      <c r="R217" t="inlineStr">
        <is>
          <t xml:space="preserve">NA </t>
        </is>
      </c>
      <c r="S217" t="n">
        <v>5</v>
      </c>
      <c r="T217" t="n">
        <v>6</v>
      </c>
      <c r="U217" t="inlineStr">
        <is>
          <t>2003-04-25</t>
        </is>
      </c>
      <c r="V217" t="inlineStr">
        <is>
          <t>2003-04-25</t>
        </is>
      </c>
      <c r="W217" t="inlineStr">
        <is>
          <t>1993-04-15</t>
        </is>
      </c>
      <c r="X217" t="inlineStr">
        <is>
          <t>1993-04-15</t>
        </is>
      </c>
      <c r="Y217" t="n">
        <v>945</v>
      </c>
      <c r="Z217" t="n">
        <v>881</v>
      </c>
      <c r="AA217" t="n">
        <v>899</v>
      </c>
      <c r="AB217" t="n">
        <v>4</v>
      </c>
      <c r="AC217" t="n">
        <v>4</v>
      </c>
      <c r="AD217" t="n">
        <v>31</v>
      </c>
      <c r="AE217" t="n">
        <v>31</v>
      </c>
      <c r="AF217" t="n">
        <v>15</v>
      </c>
      <c r="AG217" t="n">
        <v>15</v>
      </c>
      <c r="AH217" t="n">
        <v>6</v>
      </c>
      <c r="AI217" t="n">
        <v>6</v>
      </c>
      <c r="AJ217" t="n">
        <v>17</v>
      </c>
      <c r="AK217" t="n">
        <v>17</v>
      </c>
      <c r="AL217" t="n">
        <v>2</v>
      </c>
      <c r="AM217" t="n">
        <v>2</v>
      </c>
      <c r="AN217" t="n">
        <v>0</v>
      </c>
      <c r="AO217" t="n">
        <v>0</v>
      </c>
      <c r="AP217" t="inlineStr">
        <is>
          <t>No</t>
        </is>
      </c>
      <c r="AQ217" t="inlineStr">
        <is>
          <t>Yes</t>
        </is>
      </c>
      <c r="AR217">
        <f>HYPERLINK("http://catalog.hathitrust.org/Record/000314442","HathiTrust Record")</f>
        <v/>
      </c>
      <c r="AS217">
        <f>HYPERLINK("https://creighton-primo.hosted.exlibrisgroup.com/primo-explore/search?tab=default_tab&amp;search_scope=EVERYTHING&amp;vid=01CRU&amp;lang=en_US&amp;offset=0&amp;query=any,contains,991002128809702656","Catalog Record")</f>
        <v/>
      </c>
      <c r="AT217">
        <f>HYPERLINK("http://www.worldcat.org/oclc/269569","WorldCat Record")</f>
        <v/>
      </c>
      <c r="AU217" t="inlineStr">
        <is>
          <t>9622235141:eng</t>
        </is>
      </c>
      <c r="AV217" t="inlineStr">
        <is>
          <t>269569</t>
        </is>
      </c>
      <c r="AW217" t="inlineStr">
        <is>
          <t>991002128809702656</t>
        </is>
      </c>
      <c r="AX217" t="inlineStr">
        <is>
          <t>991002128809702656</t>
        </is>
      </c>
      <c r="AY217" t="inlineStr">
        <is>
          <t>2267472760002656</t>
        </is>
      </c>
      <c r="AZ217" t="inlineStr">
        <is>
          <t>BOOK</t>
        </is>
      </c>
      <c r="BC217" t="inlineStr">
        <is>
          <t>32285001620268</t>
        </is>
      </c>
      <c r="BD217" t="inlineStr">
        <is>
          <t>893721296</t>
        </is>
      </c>
    </row>
    <row r="218">
      <c r="A218" t="inlineStr">
        <is>
          <t>No</t>
        </is>
      </c>
      <c r="B218" t="inlineStr">
        <is>
          <t>NA705 .G57 1985</t>
        </is>
      </c>
      <c r="C218" t="inlineStr">
        <is>
          <t>0                      NA 0705000G  57          1985</t>
        </is>
      </c>
      <c r="D218" t="inlineStr">
        <is>
          <t>On the rise : architecture and design in a postmodern age / Paul Goldberger.</t>
        </is>
      </c>
      <c r="F218" t="inlineStr">
        <is>
          <t>No</t>
        </is>
      </c>
      <c r="G218" t="inlineStr">
        <is>
          <t>1</t>
        </is>
      </c>
      <c r="H218" t="inlineStr">
        <is>
          <t>No</t>
        </is>
      </c>
      <c r="I218" t="inlineStr">
        <is>
          <t>No</t>
        </is>
      </c>
      <c r="J218" t="inlineStr">
        <is>
          <t>0</t>
        </is>
      </c>
      <c r="K218" t="inlineStr">
        <is>
          <t>Goldberger, Paul.</t>
        </is>
      </c>
      <c r="L218" t="inlineStr">
        <is>
          <t>New York, N.Y., U.S.A. : Penguin Books, 1985, c1983.</t>
        </is>
      </c>
      <c r="M218" t="inlineStr">
        <is>
          <t>1985</t>
        </is>
      </c>
      <c r="O218" t="inlineStr">
        <is>
          <t>eng</t>
        </is>
      </c>
      <c r="P218" t="inlineStr">
        <is>
          <t>nyu</t>
        </is>
      </c>
      <c r="R218" t="inlineStr">
        <is>
          <t xml:space="preserve">NA </t>
        </is>
      </c>
      <c r="S218" t="n">
        <v>3</v>
      </c>
      <c r="T218" t="n">
        <v>3</v>
      </c>
      <c r="U218" t="inlineStr">
        <is>
          <t>2002-05-02</t>
        </is>
      </c>
      <c r="V218" t="inlineStr">
        <is>
          <t>2002-05-02</t>
        </is>
      </c>
      <c r="W218" t="inlineStr">
        <is>
          <t>1992-04-03</t>
        </is>
      </c>
      <c r="X218" t="inlineStr">
        <is>
          <t>1992-04-03</t>
        </is>
      </c>
      <c r="Y218" t="n">
        <v>146</v>
      </c>
      <c r="Z218" t="n">
        <v>113</v>
      </c>
      <c r="AA218" t="n">
        <v>578</v>
      </c>
      <c r="AB218" t="n">
        <v>2</v>
      </c>
      <c r="AC218" t="n">
        <v>3</v>
      </c>
      <c r="AD218" t="n">
        <v>5</v>
      </c>
      <c r="AE218" t="n">
        <v>20</v>
      </c>
      <c r="AF218" t="n">
        <v>3</v>
      </c>
      <c r="AG218" t="n">
        <v>9</v>
      </c>
      <c r="AH218" t="n">
        <v>1</v>
      </c>
      <c r="AI218" t="n">
        <v>4</v>
      </c>
      <c r="AJ218" t="n">
        <v>2</v>
      </c>
      <c r="AK218" t="n">
        <v>10</v>
      </c>
      <c r="AL218" t="n">
        <v>1</v>
      </c>
      <c r="AM218" t="n">
        <v>2</v>
      </c>
      <c r="AN218" t="n">
        <v>0</v>
      </c>
      <c r="AO218" t="n">
        <v>0</v>
      </c>
      <c r="AP218" t="inlineStr">
        <is>
          <t>No</t>
        </is>
      </c>
      <c r="AQ218" t="inlineStr">
        <is>
          <t>Yes</t>
        </is>
      </c>
      <c r="AR218">
        <f>HYPERLINK("http://catalog.hathitrust.org/Record/002059855","HathiTrust Record")</f>
        <v/>
      </c>
      <c r="AS218">
        <f>HYPERLINK("https://creighton-primo.hosted.exlibrisgroup.com/primo-explore/search?tab=default_tab&amp;search_scope=EVERYTHING&amp;vid=01CRU&amp;lang=en_US&amp;offset=0&amp;query=any,contains,991000492959702656","Catalog Record")</f>
        <v/>
      </c>
      <c r="AT218">
        <f>HYPERLINK("http://www.worldcat.org/oclc/11114151","WorldCat Record")</f>
        <v/>
      </c>
      <c r="AU218" t="inlineStr">
        <is>
          <t>3848399:eng</t>
        </is>
      </c>
      <c r="AV218" t="inlineStr">
        <is>
          <t>11114151</t>
        </is>
      </c>
      <c r="AW218" t="inlineStr">
        <is>
          <t>991000492959702656</t>
        </is>
      </c>
      <c r="AX218" t="inlineStr">
        <is>
          <t>991000492959702656</t>
        </is>
      </c>
      <c r="AY218" t="inlineStr">
        <is>
          <t>2258801780002656</t>
        </is>
      </c>
      <c r="AZ218" t="inlineStr">
        <is>
          <t>BOOK</t>
        </is>
      </c>
      <c r="BB218" t="inlineStr">
        <is>
          <t>9780140076325</t>
        </is>
      </c>
      <c r="BC218" t="inlineStr">
        <is>
          <t>32285001048320</t>
        </is>
      </c>
      <c r="BD218" t="inlineStr">
        <is>
          <t>893327332</t>
        </is>
      </c>
    </row>
    <row r="219">
      <c r="A219" t="inlineStr">
        <is>
          <t>No</t>
        </is>
      </c>
      <c r="B219" t="inlineStr">
        <is>
          <t>NA705 .G6</t>
        </is>
      </c>
      <c r="C219" t="inlineStr">
        <is>
          <t>0                      NA 0705000G  6</t>
        </is>
      </c>
      <c r="D219" t="inlineStr">
        <is>
          <t>Images of American living : four centuries of architecture and furniture as cultural expression.</t>
        </is>
      </c>
      <c r="F219" t="inlineStr">
        <is>
          <t>No</t>
        </is>
      </c>
      <c r="G219" t="inlineStr">
        <is>
          <t>1</t>
        </is>
      </c>
      <c r="H219" t="inlineStr">
        <is>
          <t>No</t>
        </is>
      </c>
      <c r="I219" t="inlineStr">
        <is>
          <t>No</t>
        </is>
      </c>
      <c r="J219" t="inlineStr">
        <is>
          <t>0</t>
        </is>
      </c>
      <c r="K219" t="inlineStr">
        <is>
          <t>Gowans, Alan.</t>
        </is>
      </c>
      <c r="L219" t="inlineStr">
        <is>
          <t>Philadelphia : Lippincott, [1964]</t>
        </is>
      </c>
      <c r="M219" t="inlineStr">
        <is>
          <t>1964</t>
        </is>
      </c>
      <c r="N219" t="inlineStr">
        <is>
          <t>[1st ed.]</t>
        </is>
      </c>
      <c r="O219" t="inlineStr">
        <is>
          <t>eng</t>
        </is>
      </c>
      <c r="P219" t="inlineStr">
        <is>
          <t>pau</t>
        </is>
      </c>
      <c r="R219" t="inlineStr">
        <is>
          <t xml:space="preserve">NA </t>
        </is>
      </c>
      <c r="S219" t="n">
        <v>10</v>
      </c>
      <c r="T219" t="n">
        <v>10</v>
      </c>
      <c r="U219" t="inlineStr">
        <is>
          <t>2009-03-04</t>
        </is>
      </c>
      <c r="V219" t="inlineStr">
        <is>
          <t>2009-03-04</t>
        </is>
      </c>
      <c r="W219" t="inlineStr">
        <is>
          <t>1992-04-03</t>
        </is>
      </c>
      <c r="X219" t="inlineStr">
        <is>
          <t>1992-04-03</t>
        </is>
      </c>
      <c r="Y219" t="n">
        <v>1113</v>
      </c>
      <c r="Z219" t="n">
        <v>1032</v>
      </c>
      <c r="AA219" t="n">
        <v>1180</v>
      </c>
      <c r="AB219" t="n">
        <v>9</v>
      </c>
      <c r="AC219" t="n">
        <v>9</v>
      </c>
      <c r="AD219" t="n">
        <v>26</v>
      </c>
      <c r="AE219" t="n">
        <v>33</v>
      </c>
      <c r="AF219" t="n">
        <v>7</v>
      </c>
      <c r="AG219" t="n">
        <v>11</v>
      </c>
      <c r="AH219" t="n">
        <v>6</v>
      </c>
      <c r="AI219" t="n">
        <v>8</v>
      </c>
      <c r="AJ219" t="n">
        <v>13</v>
      </c>
      <c r="AK219" t="n">
        <v>15</v>
      </c>
      <c r="AL219" t="n">
        <v>5</v>
      </c>
      <c r="AM219" t="n">
        <v>5</v>
      </c>
      <c r="AN219" t="n">
        <v>0</v>
      </c>
      <c r="AO219" t="n">
        <v>0</v>
      </c>
      <c r="AP219" t="inlineStr">
        <is>
          <t>No</t>
        </is>
      </c>
      <c r="AQ219" t="inlineStr">
        <is>
          <t>Yes</t>
        </is>
      </c>
      <c r="AR219">
        <f>HYPERLINK("http://catalog.hathitrust.org/Record/000411555","HathiTrust Record")</f>
        <v/>
      </c>
      <c r="AS219">
        <f>HYPERLINK("https://creighton-primo.hosted.exlibrisgroup.com/primo-explore/search?tab=default_tab&amp;search_scope=EVERYTHING&amp;vid=01CRU&amp;lang=en_US&amp;offset=0&amp;query=any,contains,991002653029702656","Catalog Record")</f>
        <v/>
      </c>
      <c r="AT219">
        <f>HYPERLINK("http://www.worldcat.org/oclc/387617","WorldCat Record")</f>
        <v/>
      </c>
      <c r="AU219" t="inlineStr">
        <is>
          <t>1514803:eng</t>
        </is>
      </c>
      <c r="AV219" t="inlineStr">
        <is>
          <t>387617</t>
        </is>
      </c>
      <c r="AW219" t="inlineStr">
        <is>
          <t>991002653029702656</t>
        </is>
      </c>
      <c r="AX219" t="inlineStr">
        <is>
          <t>991002653029702656</t>
        </is>
      </c>
      <c r="AY219" t="inlineStr">
        <is>
          <t>2257600520002656</t>
        </is>
      </c>
      <c r="AZ219" t="inlineStr">
        <is>
          <t>BOOK</t>
        </is>
      </c>
      <c r="BC219" t="inlineStr">
        <is>
          <t>32285001033645</t>
        </is>
      </c>
      <c r="BD219" t="inlineStr">
        <is>
          <t>893698065</t>
        </is>
      </c>
    </row>
    <row r="220">
      <c r="A220" t="inlineStr">
        <is>
          <t>No</t>
        </is>
      </c>
      <c r="B220" t="inlineStr">
        <is>
          <t>NA705 .H86</t>
        </is>
      </c>
      <c r="C220" t="inlineStr">
        <is>
          <t>0                      NA 0705000H  86</t>
        </is>
      </c>
      <c r="D220" t="inlineStr">
        <is>
          <t>Encyclopedia of American architecture / William Dudley Hunt, Jr.</t>
        </is>
      </c>
      <c r="F220" t="inlineStr">
        <is>
          <t>No</t>
        </is>
      </c>
      <c r="G220" t="inlineStr">
        <is>
          <t>1</t>
        </is>
      </c>
      <c r="H220" t="inlineStr">
        <is>
          <t>No</t>
        </is>
      </c>
      <c r="I220" t="inlineStr">
        <is>
          <t>Yes</t>
        </is>
      </c>
      <c r="J220" t="inlineStr">
        <is>
          <t>0</t>
        </is>
      </c>
      <c r="K220" t="inlineStr">
        <is>
          <t>Hunt, William Dudley.</t>
        </is>
      </c>
      <c r="L220" t="inlineStr">
        <is>
          <t>New York : McGraw-Hill, c1980.</t>
        </is>
      </c>
      <c r="M220" t="inlineStr">
        <is>
          <t>1980</t>
        </is>
      </c>
      <c r="O220" t="inlineStr">
        <is>
          <t>eng</t>
        </is>
      </c>
      <c r="P220" t="inlineStr">
        <is>
          <t>nyu</t>
        </is>
      </c>
      <c r="R220" t="inlineStr">
        <is>
          <t xml:space="preserve">NA </t>
        </is>
      </c>
      <c r="S220" t="n">
        <v>18</v>
      </c>
      <c r="T220" t="n">
        <v>18</v>
      </c>
      <c r="U220" t="inlineStr">
        <is>
          <t>2004-09-16</t>
        </is>
      </c>
      <c r="V220" t="inlineStr">
        <is>
          <t>2004-09-16</t>
        </is>
      </c>
      <c r="W220" t="inlineStr">
        <is>
          <t>1995-12-18</t>
        </is>
      </c>
      <c r="X220" t="inlineStr">
        <is>
          <t>1995-12-18</t>
        </is>
      </c>
      <c r="Y220" t="n">
        <v>1086</v>
      </c>
      <c r="Z220" t="n">
        <v>945</v>
      </c>
      <c r="AA220" t="n">
        <v>1481</v>
      </c>
      <c r="AB220" t="n">
        <v>7</v>
      </c>
      <c r="AC220" t="n">
        <v>9</v>
      </c>
      <c r="AD220" t="n">
        <v>25</v>
      </c>
      <c r="AE220" t="n">
        <v>40</v>
      </c>
      <c r="AF220" t="n">
        <v>6</v>
      </c>
      <c r="AG220" t="n">
        <v>14</v>
      </c>
      <c r="AH220" t="n">
        <v>5</v>
      </c>
      <c r="AI220" t="n">
        <v>8</v>
      </c>
      <c r="AJ220" t="n">
        <v>11</v>
      </c>
      <c r="AK220" t="n">
        <v>18</v>
      </c>
      <c r="AL220" t="n">
        <v>6</v>
      </c>
      <c r="AM220" t="n">
        <v>7</v>
      </c>
      <c r="AN220" t="n">
        <v>1</v>
      </c>
      <c r="AO220" t="n">
        <v>1</v>
      </c>
      <c r="AP220" t="inlineStr">
        <is>
          <t>No</t>
        </is>
      </c>
      <c r="AQ220" t="inlineStr">
        <is>
          <t>Yes</t>
        </is>
      </c>
      <c r="AR220">
        <f>HYPERLINK("http://catalog.hathitrust.org/Record/004501958","HathiTrust Record")</f>
        <v/>
      </c>
      <c r="AS220">
        <f>HYPERLINK("https://creighton-primo.hosted.exlibrisgroup.com/primo-explore/search?tab=default_tab&amp;search_scope=EVERYTHING&amp;vid=01CRU&amp;lang=en_US&amp;offset=0&amp;query=any,contains,991004925059702656","Catalog Record")</f>
        <v/>
      </c>
      <c r="AT220">
        <f>HYPERLINK("http://www.worldcat.org/oclc/6085496","WorldCat Record")</f>
        <v/>
      </c>
      <c r="AU220" t="inlineStr">
        <is>
          <t>20992798:eng</t>
        </is>
      </c>
      <c r="AV220" t="inlineStr">
        <is>
          <t>6085496</t>
        </is>
      </c>
      <c r="AW220" t="inlineStr">
        <is>
          <t>991004925059702656</t>
        </is>
      </c>
      <c r="AX220" t="inlineStr">
        <is>
          <t>991004925059702656</t>
        </is>
      </c>
      <c r="AY220" t="inlineStr">
        <is>
          <t>2261089850002656</t>
        </is>
      </c>
      <c r="AZ220" t="inlineStr">
        <is>
          <t>BOOK</t>
        </is>
      </c>
      <c r="BB220" t="inlineStr">
        <is>
          <t>9780070312999</t>
        </is>
      </c>
      <c r="BC220" t="inlineStr">
        <is>
          <t>32285002089638</t>
        </is>
      </c>
      <c r="BD220" t="inlineStr">
        <is>
          <t>893344410</t>
        </is>
      </c>
    </row>
    <row r="221">
      <c r="A221" t="inlineStr">
        <is>
          <t>No</t>
        </is>
      </c>
      <c r="B221" t="inlineStr">
        <is>
          <t>NA705 .K56 1985</t>
        </is>
      </c>
      <c r="C221" t="inlineStr">
        <is>
          <t>0                      NA 0705000K  56          1985</t>
        </is>
      </c>
      <c r="D221" t="inlineStr">
        <is>
          <t>Clues to American architecture / Marilyn W. Klein, David P. Fogle ; illustrated by Wolcott B. Etienne.</t>
        </is>
      </c>
      <c r="F221" t="inlineStr">
        <is>
          <t>No</t>
        </is>
      </c>
      <c r="G221" t="inlineStr">
        <is>
          <t>1</t>
        </is>
      </c>
      <c r="H221" t="inlineStr">
        <is>
          <t>No</t>
        </is>
      </c>
      <c r="I221" t="inlineStr">
        <is>
          <t>No</t>
        </is>
      </c>
      <c r="J221" t="inlineStr">
        <is>
          <t>0</t>
        </is>
      </c>
      <c r="K221" t="inlineStr">
        <is>
          <t>Klein, Marilyn W., 1928-</t>
        </is>
      </c>
      <c r="L221" t="inlineStr">
        <is>
          <t>Washington, DC : Starrhill Press, c1985.</t>
        </is>
      </c>
      <c r="M221" t="inlineStr">
        <is>
          <t>1985</t>
        </is>
      </c>
      <c r="N221" t="inlineStr">
        <is>
          <t>1st ed.</t>
        </is>
      </c>
      <c r="O221" t="inlineStr">
        <is>
          <t>eng</t>
        </is>
      </c>
      <c r="P221" t="inlineStr">
        <is>
          <t>dcu</t>
        </is>
      </c>
      <c r="R221" t="inlineStr">
        <is>
          <t xml:space="preserve">NA </t>
        </is>
      </c>
      <c r="S221" t="n">
        <v>2</v>
      </c>
      <c r="T221" t="n">
        <v>2</v>
      </c>
      <c r="U221" t="inlineStr">
        <is>
          <t>2009-03-04</t>
        </is>
      </c>
      <c r="V221" t="inlineStr">
        <is>
          <t>2009-03-04</t>
        </is>
      </c>
      <c r="W221" t="inlineStr">
        <is>
          <t>1990-07-30</t>
        </is>
      </c>
      <c r="X221" t="inlineStr">
        <is>
          <t>1990-07-30</t>
        </is>
      </c>
      <c r="Y221" t="n">
        <v>83</v>
      </c>
      <c r="Z221" t="n">
        <v>82</v>
      </c>
      <c r="AA221" t="n">
        <v>251</v>
      </c>
      <c r="AB221" t="n">
        <v>2</v>
      </c>
      <c r="AC221" t="n">
        <v>3</v>
      </c>
      <c r="AD221" t="n">
        <v>2</v>
      </c>
      <c r="AE221" t="n">
        <v>8</v>
      </c>
      <c r="AF221" t="n">
        <v>0</v>
      </c>
      <c r="AG221" t="n">
        <v>2</v>
      </c>
      <c r="AH221" t="n">
        <v>0</v>
      </c>
      <c r="AI221" t="n">
        <v>1</v>
      </c>
      <c r="AJ221" t="n">
        <v>1</v>
      </c>
      <c r="AK221" t="n">
        <v>4</v>
      </c>
      <c r="AL221" t="n">
        <v>1</v>
      </c>
      <c r="AM221" t="n">
        <v>2</v>
      </c>
      <c r="AN221" t="n">
        <v>0</v>
      </c>
      <c r="AO221" t="n">
        <v>0</v>
      </c>
      <c r="AP221" t="inlineStr">
        <is>
          <t>No</t>
        </is>
      </c>
      <c r="AQ221" t="inlineStr">
        <is>
          <t>Yes</t>
        </is>
      </c>
      <c r="AR221">
        <f>HYPERLINK("http://catalog.hathitrust.org/Record/000356645","HathiTrust Record")</f>
        <v/>
      </c>
      <c r="AS221">
        <f>HYPERLINK("https://creighton-primo.hosted.exlibrisgroup.com/primo-explore/search?tab=default_tab&amp;search_scope=EVERYTHING&amp;vid=01CRU&amp;lang=en_US&amp;offset=0&amp;query=any,contains,991000675229702656","Catalog Record")</f>
        <v/>
      </c>
      <c r="AT221">
        <f>HYPERLINK("http://www.worldcat.org/oclc/12344528","WorldCat Record")</f>
        <v/>
      </c>
      <c r="AU221" t="inlineStr">
        <is>
          <t>5296471:eng</t>
        </is>
      </c>
      <c r="AV221" t="inlineStr">
        <is>
          <t>12344528</t>
        </is>
      </c>
      <c r="AW221" t="inlineStr">
        <is>
          <t>991000675229702656</t>
        </is>
      </c>
      <c r="AX221" t="inlineStr">
        <is>
          <t>991000675229702656</t>
        </is>
      </c>
      <c r="AY221" t="inlineStr">
        <is>
          <t>2265274090002656</t>
        </is>
      </c>
      <c r="AZ221" t="inlineStr">
        <is>
          <t>BOOK</t>
        </is>
      </c>
      <c r="BB221" t="inlineStr">
        <is>
          <t>9780913515105</t>
        </is>
      </c>
      <c r="BC221" t="inlineStr">
        <is>
          <t>32285000229442</t>
        </is>
      </c>
      <c r="BD221" t="inlineStr">
        <is>
          <t>893720755</t>
        </is>
      </c>
    </row>
    <row r="222">
      <c r="A222" t="inlineStr">
        <is>
          <t>No</t>
        </is>
      </c>
      <c r="B222" t="inlineStr">
        <is>
          <t>NA705 .K64 1987</t>
        </is>
      </c>
      <c r="C222" t="inlineStr">
        <is>
          <t>0                      NA 0705000K  64          1987</t>
        </is>
      </c>
      <c r="D222" t="inlineStr">
        <is>
          <t>America by design / Spiro Kostof.</t>
        </is>
      </c>
      <c r="F222" t="inlineStr">
        <is>
          <t>No</t>
        </is>
      </c>
      <c r="G222" t="inlineStr">
        <is>
          <t>1</t>
        </is>
      </c>
      <c r="H222" t="inlineStr">
        <is>
          <t>No</t>
        </is>
      </c>
      <c r="I222" t="inlineStr">
        <is>
          <t>No</t>
        </is>
      </c>
      <c r="J222" t="inlineStr">
        <is>
          <t>0</t>
        </is>
      </c>
      <c r="K222" t="inlineStr">
        <is>
          <t>Kostof, Spiro.</t>
        </is>
      </c>
      <c r="L222" t="inlineStr">
        <is>
          <t>New York : Oxford University Press, 1987.</t>
        </is>
      </c>
      <c r="M222" t="inlineStr">
        <is>
          <t>1987</t>
        </is>
      </c>
      <c r="O222" t="inlineStr">
        <is>
          <t>eng</t>
        </is>
      </c>
      <c r="P222" t="inlineStr">
        <is>
          <t>nyu</t>
        </is>
      </c>
      <c r="R222" t="inlineStr">
        <is>
          <t xml:space="preserve">NA </t>
        </is>
      </c>
      <c r="S222" t="n">
        <v>5</v>
      </c>
      <c r="T222" t="n">
        <v>5</v>
      </c>
      <c r="U222" t="inlineStr">
        <is>
          <t>2003-04-25</t>
        </is>
      </c>
      <c r="V222" t="inlineStr">
        <is>
          <t>2003-04-25</t>
        </is>
      </c>
      <c r="W222" t="inlineStr">
        <is>
          <t>1998-01-09</t>
        </is>
      </c>
      <c r="X222" t="inlineStr">
        <is>
          <t>1998-01-09</t>
        </is>
      </c>
      <c r="Y222" t="n">
        <v>1685</v>
      </c>
      <c r="Z222" t="n">
        <v>1550</v>
      </c>
      <c r="AA222" t="n">
        <v>1558</v>
      </c>
      <c r="AB222" t="n">
        <v>12</v>
      </c>
      <c r="AC222" t="n">
        <v>12</v>
      </c>
      <c r="AD222" t="n">
        <v>36</v>
      </c>
      <c r="AE222" t="n">
        <v>36</v>
      </c>
      <c r="AF222" t="n">
        <v>12</v>
      </c>
      <c r="AG222" t="n">
        <v>12</v>
      </c>
      <c r="AH222" t="n">
        <v>9</v>
      </c>
      <c r="AI222" t="n">
        <v>9</v>
      </c>
      <c r="AJ222" t="n">
        <v>14</v>
      </c>
      <c r="AK222" t="n">
        <v>14</v>
      </c>
      <c r="AL222" t="n">
        <v>9</v>
      </c>
      <c r="AM222" t="n">
        <v>9</v>
      </c>
      <c r="AN222" t="n">
        <v>0</v>
      </c>
      <c r="AO222" t="n">
        <v>0</v>
      </c>
      <c r="AP222" t="inlineStr">
        <is>
          <t>No</t>
        </is>
      </c>
      <c r="AQ222" t="inlineStr">
        <is>
          <t>Yes</t>
        </is>
      </c>
      <c r="AR222">
        <f>HYPERLINK("http://catalog.hathitrust.org/Record/000868730","HathiTrust Record")</f>
        <v/>
      </c>
      <c r="AS222">
        <f>HYPERLINK("https://creighton-primo.hosted.exlibrisgroup.com/primo-explore/search?tab=default_tab&amp;search_scope=EVERYTHING&amp;vid=01CRU&amp;lang=en_US&amp;offset=0&amp;query=any,contains,991000873269702656","Catalog Record")</f>
        <v/>
      </c>
      <c r="AT222">
        <f>HYPERLINK("http://www.worldcat.org/oclc/13794633","WorldCat Record")</f>
        <v/>
      </c>
      <c r="AU222" t="inlineStr">
        <is>
          <t>7920133:eng</t>
        </is>
      </c>
      <c r="AV222" t="inlineStr">
        <is>
          <t>13794633</t>
        </is>
      </c>
      <c r="AW222" t="inlineStr">
        <is>
          <t>991000873269702656</t>
        </is>
      </c>
      <c r="AX222" t="inlineStr">
        <is>
          <t>991000873269702656</t>
        </is>
      </c>
      <c r="AY222" t="inlineStr">
        <is>
          <t>2269901910002656</t>
        </is>
      </c>
      <c r="AZ222" t="inlineStr">
        <is>
          <t>BOOK</t>
        </is>
      </c>
      <c r="BB222" t="inlineStr">
        <is>
          <t>9780195042832</t>
        </is>
      </c>
      <c r="BC222" t="inlineStr">
        <is>
          <t>32285003302816</t>
        </is>
      </c>
      <c r="BD222" t="inlineStr">
        <is>
          <t>893702518</t>
        </is>
      </c>
    </row>
    <row r="223">
      <c r="A223" t="inlineStr">
        <is>
          <t>No</t>
        </is>
      </c>
      <c r="B223" t="inlineStr">
        <is>
          <t>NA705 .L3 1983</t>
        </is>
      </c>
      <c r="C223" t="inlineStr">
        <is>
          <t>0                      NA 0705000L  3           1983</t>
        </is>
      </c>
      <c r="D223" t="inlineStr">
        <is>
          <t>The Japanese influence in America / by Clay Lancaster ; with an introduction by Alan Priest.</t>
        </is>
      </c>
      <c r="F223" t="inlineStr">
        <is>
          <t>No</t>
        </is>
      </c>
      <c r="G223" t="inlineStr">
        <is>
          <t>1</t>
        </is>
      </c>
      <c r="H223" t="inlineStr">
        <is>
          <t>No</t>
        </is>
      </c>
      <c r="I223" t="inlineStr">
        <is>
          <t>No</t>
        </is>
      </c>
      <c r="J223" t="inlineStr">
        <is>
          <t>0</t>
        </is>
      </c>
      <c r="K223" t="inlineStr">
        <is>
          <t>Lancaster, Clay.</t>
        </is>
      </c>
      <c r="L223" t="inlineStr">
        <is>
          <t>New York : Abbeville Press, c1983.</t>
        </is>
      </c>
      <c r="M223" t="inlineStr">
        <is>
          <t>1983</t>
        </is>
      </c>
      <c r="O223" t="inlineStr">
        <is>
          <t>eng</t>
        </is>
      </c>
      <c r="P223" t="inlineStr">
        <is>
          <t>nyu</t>
        </is>
      </c>
      <c r="R223" t="inlineStr">
        <is>
          <t xml:space="preserve">NA </t>
        </is>
      </c>
      <c r="S223" t="n">
        <v>3</v>
      </c>
      <c r="T223" t="n">
        <v>3</v>
      </c>
      <c r="U223" t="inlineStr">
        <is>
          <t>1995-10-05</t>
        </is>
      </c>
      <c r="V223" t="inlineStr">
        <is>
          <t>1995-10-05</t>
        </is>
      </c>
      <c r="W223" t="inlineStr">
        <is>
          <t>1993-05-13</t>
        </is>
      </c>
      <c r="X223" t="inlineStr">
        <is>
          <t>1993-05-13</t>
        </is>
      </c>
      <c r="Y223" t="n">
        <v>381</v>
      </c>
      <c r="Z223" t="n">
        <v>338</v>
      </c>
      <c r="AA223" t="n">
        <v>1015</v>
      </c>
      <c r="AB223" t="n">
        <v>4</v>
      </c>
      <c r="AC223" t="n">
        <v>6</v>
      </c>
      <c r="AD223" t="n">
        <v>11</v>
      </c>
      <c r="AE223" t="n">
        <v>35</v>
      </c>
      <c r="AF223" t="n">
        <v>5</v>
      </c>
      <c r="AG223" t="n">
        <v>17</v>
      </c>
      <c r="AH223" t="n">
        <v>2</v>
      </c>
      <c r="AI223" t="n">
        <v>8</v>
      </c>
      <c r="AJ223" t="n">
        <v>3</v>
      </c>
      <c r="AK223" t="n">
        <v>16</v>
      </c>
      <c r="AL223" t="n">
        <v>3</v>
      </c>
      <c r="AM223" t="n">
        <v>4</v>
      </c>
      <c r="AN223" t="n">
        <v>0</v>
      </c>
      <c r="AO223" t="n">
        <v>0</v>
      </c>
      <c r="AP223" t="inlineStr">
        <is>
          <t>No</t>
        </is>
      </c>
      <c r="AQ223" t="inlineStr">
        <is>
          <t>Yes</t>
        </is>
      </c>
      <c r="AR223">
        <f>HYPERLINK("http://catalog.hathitrust.org/Record/000600549","HathiTrust Record")</f>
        <v/>
      </c>
      <c r="AS223">
        <f>HYPERLINK("https://creighton-primo.hosted.exlibrisgroup.com/primo-explore/search?tab=default_tab&amp;search_scope=EVERYTHING&amp;vid=01CRU&amp;lang=en_US&amp;offset=0&amp;query=any,contains,991000117489702656","Catalog Record")</f>
        <v/>
      </c>
      <c r="AT223">
        <f>HYPERLINK("http://www.worldcat.org/oclc/9043725","WorldCat Record")</f>
        <v/>
      </c>
      <c r="AU223" t="inlineStr">
        <is>
          <t>1359614:eng</t>
        </is>
      </c>
      <c r="AV223" t="inlineStr">
        <is>
          <t>9043725</t>
        </is>
      </c>
      <c r="AW223" t="inlineStr">
        <is>
          <t>991000117489702656</t>
        </is>
      </c>
      <c r="AX223" t="inlineStr">
        <is>
          <t>991000117489702656</t>
        </is>
      </c>
      <c r="AY223" t="inlineStr">
        <is>
          <t>2266507150002656</t>
        </is>
      </c>
      <c r="AZ223" t="inlineStr">
        <is>
          <t>BOOK</t>
        </is>
      </c>
      <c r="BB223" t="inlineStr">
        <is>
          <t>9780896593428</t>
        </is>
      </c>
      <c r="BC223" t="inlineStr">
        <is>
          <t>32285001654424</t>
        </is>
      </c>
      <c r="BD223" t="inlineStr">
        <is>
          <t>893802510</t>
        </is>
      </c>
    </row>
    <row r="224">
      <c r="A224" t="inlineStr">
        <is>
          <t>No</t>
        </is>
      </c>
      <c r="B224" t="inlineStr">
        <is>
          <t>NA705 .P5 1976, v...</t>
        </is>
      </c>
      <c r="C224" t="inlineStr">
        <is>
          <t>0                      NA 0705000P  5           1976                                        v...</t>
        </is>
      </c>
      <c r="D224" t="inlineStr">
        <is>
          <t>American buildings and their architects / William H. Pierson, Jr.</t>
        </is>
      </c>
      <c r="E224" t="inlineStr">
        <is>
          <t>V.1</t>
        </is>
      </c>
      <c r="F224" t="inlineStr">
        <is>
          <t>Yes</t>
        </is>
      </c>
      <c r="G224" t="inlineStr">
        <is>
          <t>1</t>
        </is>
      </c>
      <c r="H224" t="inlineStr">
        <is>
          <t>No</t>
        </is>
      </c>
      <c r="I224" t="inlineStr">
        <is>
          <t>No</t>
        </is>
      </c>
      <c r="J224" t="inlineStr">
        <is>
          <t>0</t>
        </is>
      </c>
      <c r="K224" t="inlineStr">
        <is>
          <t>Pierson, William H. (William Harvey), 1911-2008.</t>
        </is>
      </c>
      <c r="L224" t="inlineStr">
        <is>
          <t>Garden City, N.Y. : Anchor Press, 1976- c1970-</t>
        </is>
      </c>
      <c r="M224" t="inlineStr">
        <is>
          <t>1976</t>
        </is>
      </c>
      <c r="O224" t="inlineStr">
        <is>
          <t>eng</t>
        </is>
      </c>
      <c r="P224" t="inlineStr">
        <is>
          <t>nyu</t>
        </is>
      </c>
      <c r="R224" t="inlineStr">
        <is>
          <t xml:space="preserve">NA </t>
        </is>
      </c>
      <c r="S224" t="n">
        <v>14</v>
      </c>
      <c r="T224" t="n">
        <v>36</v>
      </c>
      <c r="U224" t="inlineStr">
        <is>
          <t>2009-03-04</t>
        </is>
      </c>
      <c r="V224" t="inlineStr">
        <is>
          <t>2009-03-04</t>
        </is>
      </c>
      <c r="W224" t="inlineStr">
        <is>
          <t>1999-04-27</t>
        </is>
      </c>
      <c r="X224" t="inlineStr">
        <is>
          <t>1999-05-24</t>
        </is>
      </c>
      <c r="Y224" t="n">
        <v>320</v>
      </c>
      <c r="Z224" t="n">
        <v>300</v>
      </c>
      <c r="AA224" t="n">
        <v>1086</v>
      </c>
      <c r="AB224" t="n">
        <v>1</v>
      </c>
      <c r="AC224" t="n">
        <v>4</v>
      </c>
      <c r="AD224" t="n">
        <v>10</v>
      </c>
      <c r="AE224" t="n">
        <v>32</v>
      </c>
      <c r="AF224" t="n">
        <v>3</v>
      </c>
      <c r="AG224" t="n">
        <v>15</v>
      </c>
      <c r="AH224" t="n">
        <v>1</v>
      </c>
      <c r="AI224" t="n">
        <v>5</v>
      </c>
      <c r="AJ224" t="n">
        <v>8</v>
      </c>
      <c r="AK224" t="n">
        <v>15</v>
      </c>
      <c r="AL224" t="n">
        <v>0</v>
      </c>
      <c r="AM224" t="n">
        <v>3</v>
      </c>
      <c r="AN224" t="n">
        <v>0</v>
      </c>
      <c r="AO224" t="n">
        <v>0</v>
      </c>
      <c r="AP224" t="inlineStr">
        <is>
          <t>No</t>
        </is>
      </c>
      <c r="AQ224" t="inlineStr">
        <is>
          <t>Yes</t>
        </is>
      </c>
      <c r="AR224">
        <f>HYPERLINK("http://catalog.hathitrust.org/Record/000230802","HathiTrust Record")</f>
        <v/>
      </c>
      <c r="AS224">
        <f>HYPERLINK("https://creighton-primo.hosted.exlibrisgroup.com/primo-explore/search?tab=default_tab&amp;search_scope=EVERYTHING&amp;vid=01CRU&amp;lang=en_US&amp;offset=0&amp;query=any,contains,991004287639702656","Catalog Record")</f>
        <v/>
      </c>
      <c r="AT224">
        <f>HYPERLINK("http://www.worldcat.org/oclc/2379072","WorldCat Record")</f>
        <v/>
      </c>
      <c r="AU224" t="inlineStr">
        <is>
          <t>10141477885:eng</t>
        </is>
      </c>
      <c r="AV224" t="inlineStr">
        <is>
          <t>2379072</t>
        </is>
      </c>
      <c r="AW224" t="inlineStr">
        <is>
          <t>991004287639702656</t>
        </is>
      </c>
      <c r="AX224" t="inlineStr">
        <is>
          <t>991004287639702656</t>
        </is>
      </c>
      <c r="AY224" t="inlineStr">
        <is>
          <t>2262881960002656</t>
        </is>
      </c>
      <c r="AZ224" t="inlineStr">
        <is>
          <t>BOOK</t>
        </is>
      </c>
      <c r="BB224" t="inlineStr">
        <is>
          <t>9780385061230</t>
        </is>
      </c>
      <c r="BC224" t="inlineStr">
        <is>
          <t>32285003263455</t>
        </is>
      </c>
      <c r="BD224" t="inlineStr">
        <is>
          <t>893894797</t>
        </is>
      </c>
    </row>
    <row r="225">
      <c r="A225" t="inlineStr">
        <is>
          <t>No</t>
        </is>
      </c>
      <c r="B225" t="inlineStr">
        <is>
          <t>NA705 .P5 1976, v...</t>
        </is>
      </c>
      <c r="C225" t="inlineStr">
        <is>
          <t>0                      NA 0705000P  5           1976                                        v...</t>
        </is>
      </c>
      <c r="D225" t="inlineStr">
        <is>
          <t>American buildings and their architects / William H. Pierson, Jr.</t>
        </is>
      </c>
      <c r="E225" t="inlineStr">
        <is>
          <t>V.3</t>
        </is>
      </c>
      <c r="F225" t="inlineStr">
        <is>
          <t>Yes</t>
        </is>
      </c>
      <c r="G225" t="inlineStr">
        <is>
          <t>1</t>
        </is>
      </c>
      <c r="H225" t="inlineStr">
        <is>
          <t>No</t>
        </is>
      </c>
      <c r="I225" t="inlineStr">
        <is>
          <t>No</t>
        </is>
      </c>
      <c r="J225" t="inlineStr">
        <is>
          <t>0</t>
        </is>
      </c>
      <c r="K225" t="inlineStr">
        <is>
          <t>Pierson, William H. (William Harvey), 1911-2008.</t>
        </is>
      </c>
      <c r="L225" t="inlineStr">
        <is>
          <t>Garden City, N.Y. : Anchor Press, 1976- c1970-</t>
        </is>
      </c>
      <c r="M225" t="inlineStr">
        <is>
          <t>1976</t>
        </is>
      </c>
      <c r="O225" t="inlineStr">
        <is>
          <t>eng</t>
        </is>
      </c>
      <c r="P225" t="inlineStr">
        <is>
          <t>nyu</t>
        </is>
      </c>
      <c r="R225" t="inlineStr">
        <is>
          <t xml:space="preserve">NA </t>
        </is>
      </c>
      <c r="S225" t="n">
        <v>9</v>
      </c>
      <c r="T225" t="n">
        <v>36</v>
      </c>
      <c r="U225" t="inlineStr">
        <is>
          <t>2009-03-04</t>
        </is>
      </c>
      <c r="V225" t="inlineStr">
        <is>
          <t>2009-03-04</t>
        </is>
      </c>
      <c r="W225" t="inlineStr">
        <is>
          <t>1993-05-13</t>
        </is>
      </c>
      <c r="X225" t="inlineStr">
        <is>
          <t>1999-05-24</t>
        </is>
      </c>
      <c r="Y225" t="n">
        <v>320</v>
      </c>
      <c r="Z225" t="n">
        <v>300</v>
      </c>
      <c r="AA225" t="n">
        <v>1086</v>
      </c>
      <c r="AB225" t="n">
        <v>1</v>
      </c>
      <c r="AC225" t="n">
        <v>4</v>
      </c>
      <c r="AD225" t="n">
        <v>10</v>
      </c>
      <c r="AE225" t="n">
        <v>32</v>
      </c>
      <c r="AF225" t="n">
        <v>3</v>
      </c>
      <c r="AG225" t="n">
        <v>15</v>
      </c>
      <c r="AH225" t="n">
        <v>1</v>
      </c>
      <c r="AI225" t="n">
        <v>5</v>
      </c>
      <c r="AJ225" t="n">
        <v>8</v>
      </c>
      <c r="AK225" t="n">
        <v>15</v>
      </c>
      <c r="AL225" t="n">
        <v>0</v>
      </c>
      <c r="AM225" t="n">
        <v>3</v>
      </c>
      <c r="AN225" t="n">
        <v>0</v>
      </c>
      <c r="AO225" t="n">
        <v>0</v>
      </c>
      <c r="AP225" t="inlineStr">
        <is>
          <t>No</t>
        </is>
      </c>
      <c r="AQ225" t="inlineStr">
        <is>
          <t>Yes</t>
        </is>
      </c>
      <c r="AR225">
        <f>HYPERLINK("http://catalog.hathitrust.org/Record/000230802","HathiTrust Record")</f>
        <v/>
      </c>
      <c r="AS225">
        <f>HYPERLINK("https://creighton-primo.hosted.exlibrisgroup.com/primo-explore/search?tab=default_tab&amp;search_scope=EVERYTHING&amp;vid=01CRU&amp;lang=en_US&amp;offset=0&amp;query=any,contains,991004287639702656","Catalog Record")</f>
        <v/>
      </c>
      <c r="AT225">
        <f>HYPERLINK("http://www.worldcat.org/oclc/2379072","WorldCat Record")</f>
        <v/>
      </c>
      <c r="AU225" t="inlineStr">
        <is>
          <t>10141477885:eng</t>
        </is>
      </c>
      <c r="AV225" t="inlineStr">
        <is>
          <t>2379072</t>
        </is>
      </c>
      <c r="AW225" t="inlineStr">
        <is>
          <t>991004287639702656</t>
        </is>
      </c>
      <c r="AX225" t="inlineStr">
        <is>
          <t>991004287639702656</t>
        </is>
      </c>
      <c r="AY225" t="inlineStr">
        <is>
          <t>2262881960002656</t>
        </is>
      </c>
      <c r="AZ225" t="inlineStr">
        <is>
          <t>BOOK</t>
        </is>
      </c>
      <c r="BB225" t="inlineStr">
        <is>
          <t>9780385061230</t>
        </is>
      </c>
      <c r="BC225" t="inlineStr">
        <is>
          <t>32285001654457</t>
        </is>
      </c>
      <c r="BD225" t="inlineStr">
        <is>
          <t>893869545</t>
        </is>
      </c>
    </row>
    <row r="226">
      <c r="A226" t="inlineStr">
        <is>
          <t>No</t>
        </is>
      </c>
      <c r="B226" t="inlineStr">
        <is>
          <t>NA705 .P5 1976, v...</t>
        </is>
      </c>
      <c r="C226" t="inlineStr">
        <is>
          <t>0                      NA 0705000P  5           1976                                        v...</t>
        </is>
      </c>
      <c r="D226" t="inlineStr">
        <is>
          <t>American buildings and their architects / William H. Pierson, Jr.</t>
        </is>
      </c>
      <c r="E226" t="inlineStr">
        <is>
          <t>V.4</t>
        </is>
      </c>
      <c r="F226" t="inlineStr">
        <is>
          <t>Yes</t>
        </is>
      </c>
      <c r="G226" t="inlineStr">
        <is>
          <t>1</t>
        </is>
      </c>
      <c r="H226" t="inlineStr">
        <is>
          <t>No</t>
        </is>
      </c>
      <c r="I226" t="inlineStr">
        <is>
          <t>No</t>
        </is>
      </c>
      <c r="J226" t="inlineStr">
        <is>
          <t>0</t>
        </is>
      </c>
      <c r="K226" t="inlineStr">
        <is>
          <t>Pierson, William H. (William Harvey), 1911-2008.</t>
        </is>
      </c>
      <c r="L226" t="inlineStr">
        <is>
          <t>Garden City, N.Y. : Anchor Press, 1976- c1970-</t>
        </is>
      </c>
      <c r="M226" t="inlineStr">
        <is>
          <t>1976</t>
        </is>
      </c>
      <c r="O226" t="inlineStr">
        <is>
          <t>eng</t>
        </is>
      </c>
      <c r="P226" t="inlineStr">
        <is>
          <t>nyu</t>
        </is>
      </c>
      <c r="R226" t="inlineStr">
        <is>
          <t xml:space="preserve">NA </t>
        </is>
      </c>
      <c r="S226" t="n">
        <v>8</v>
      </c>
      <c r="T226" t="n">
        <v>36</v>
      </c>
      <c r="U226" t="inlineStr">
        <is>
          <t>2003-04-25</t>
        </is>
      </c>
      <c r="V226" t="inlineStr">
        <is>
          <t>2009-03-04</t>
        </is>
      </c>
      <c r="W226" t="inlineStr">
        <is>
          <t>1992-07-14</t>
        </is>
      </c>
      <c r="X226" t="inlineStr">
        <is>
          <t>1999-05-24</t>
        </is>
      </c>
      <c r="Y226" t="n">
        <v>320</v>
      </c>
      <c r="Z226" t="n">
        <v>300</v>
      </c>
      <c r="AA226" t="n">
        <v>1086</v>
      </c>
      <c r="AB226" t="n">
        <v>1</v>
      </c>
      <c r="AC226" t="n">
        <v>4</v>
      </c>
      <c r="AD226" t="n">
        <v>10</v>
      </c>
      <c r="AE226" t="n">
        <v>32</v>
      </c>
      <c r="AF226" t="n">
        <v>3</v>
      </c>
      <c r="AG226" t="n">
        <v>15</v>
      </c>
      <c r="AH226" t="n">
        <v>1</v>
      </c>
      <c r="AI226" t="n">
        <v>5</v>
      </c>
      <c r="AJ226" t="n">
        <v>8</v>
      </c>
      <c r="AK226" t="n">
        <v>15</v>
      </c>
      <c r="AL226" t="n">
        <v>0</v>
      </c>
      <c r="AM226" t="n">
        <v>3</v>
      </c>
      <c r="AN226" t="n">
        <v>0</v>
      </c>
      <c r="AO226" t="n">
        <v>0</v>
      </c>
      <c r="AP226" t="inlineStr">
        <is>
          <t>No</t>
        </is>
      </c>
      <c r="AQ226" t="inlineStr">
        <is>
          <t>Yes</t>
        </is>
      </c>
      <c r="AR226">
        <f>HYPERLINK("http://catalog.hathitrust.org/Record/000230802","HathiTrust Record")</f>
        <v/>
      </c>
      <c r="AS226">
        <f>HYPERLINK("https://creighton-primo.hosted.exlibrisgroup.com/primo-explore/search?tab=default_tab&amp;search_scope=EVERYTHING&amp;vid=01CRU&amp;lang=en_US&amp;offset=0&amp;query=any,contains,991004287639702656","Catalog Record")</f>
        <v/>
      </c>
      <c r="AT226">
        <f>HYPERLINK("http://www.worldcat.org/oclc/2379072","WorldCat Record")</f>
        <v/>
      </c>
      <c r="AU226" t="inlineStr">
        <is>
          <t>10141477885:eng</t>
        </is>
      </c>
      <c r="AV226" t="inlineStr">
        <is>
          <t>2379072</t>
        </is>
      </c>
      <c r="AW226" t="inlineStr">
        <is>
          <t>991004287639702656</t>
        </is>
      </c>
      <c r="AX226" t="inlineStr">
        <is>
          <t>991004287639702656</t>
        </is>
      </c>
      <c r="AY226" t="inlineStr">
        <is>
          <t>2262881960002656</t>
        </is>
      </c>
      <c r="AZ226" t="inlineStr">
        <is>
          <t>BOOK</t>
        </is>
      </c>
      <c r="BB226" t="inlineStr">
        <is>
          <t>9780385061230</t>
        </is>
      </c>
      <c r="BC226" t="inlineStr">
        <is>
          <t>32285001152452</t>
        </is>
      </c>
      <c r="BD226" t="inlineStr">
        <is>
          <t>893894796</t>
        </is>
      </c>
    </row>
    <row r="227">
      <c r="A227" t="inlineStr">
        <is>
          <t>No</t>
        </is>
      </c>
      <c r="B227" t="inlineStr">
        <is>
          <t>NA705 .P5 1976, v...</t>
        </is>
      </c>
      <c r="C227" t="inlineStr">
        <is>
          <t>0                      NA 0705000P  5           1976                                        v...</t>
        </is>
      </c>
      <c r="D227" t="inlineStr">
        <is>
          <t>American buildings and their architects / William H. Pierson, Jr.</t>
        </is>
      </c>
      <c r="E227" t="inlineStr">
        <is>
          <t>V.2 PT.1</t>
        </is>
      </c>
      <c r="F227" t="inlineStr">
        <is>
          <t>Yes</t>
        </is>
      </c>
      <c r="G227" t="inlineStr">
        <is>
          <t>1</t>
        </is>
      </c>
      <c r="H227" t="inlineStr">
        <is>
          <t>No</t>
        </is>
      </c>
      <c r="I227" t="inlineStr">
        <is>
          <t>No</t>
        </is>
      </c>
      <c r="J227" t="inlineStr">
        <is>
          <t>0</t>
        </is>
      </c>
      <c r="K227" t="inlineStr">
        <is>
          <t>Pierson, William H. (William Harvey), 1911-2008.</t>
        </is>
      </c>
      <c r="L227" t="inlineStr">
        <is>
          <t>Garden City, N.Y. : Anchor Press, 1976- c1970-</t>
        </is>
      </c>
      <c r="M227" t="inlineStr">
        <is>
          <t>1976</t>
        </is>
      </c>
      <c r="O227" t="inlineStr">
        <is>
          <t>eng</t>
        </is>
      </c>
      <c r="P227" t="inlineStr">
        <is>
          <t>nyu</t>
        </is>
      </c>
      <c r="R227" t="inlineStr">
        <is>
          <t xml:space="preserve">NA </t>
        </is>
      </c>
      <c r="S227" t="n">
        <v>5</v>
      </c>
      <c r="T227" t="n">
        <v>36</v>
      </c>
      <c r="U227" t="inlineStr">
        <is>
          <t>1999-04-05</t>
        </is>
      </c>
      <c r="V227" t="inlineStr">
        <is>
          <t>2009-03-04</t>
        </is>
      </c>
      <c r="W227" t="inlineStr">
        <is>
          <t>1999-05-24</t>
        </is>
      </c>
      <c r="X227" t="inlineStr">
        <is>
          <t>1999-05-24</t>
        </is>
      </c>
      <c r="Y227" t="n">
        <v>320</v>
      </c>
      <c r="Z227" t="n">
        <v>300</v>
      </c>
      <c r="AA227" t="n">
        <v>1086</v>
      </c>
      <c r="AB227" t="n">
        <v>1</v>
      </c>
      <c r="AC227" t="n">
        <v>4</v>
      </c>
      <c r="AD227" t="n">
        <v>10</v>
      </c>
      <c r="AE227" t="n">
        <v>32</v>
      </c>
      <c r="AF227" t="n">
        <v>3</v>
      </c>
      <c r="AG227" t="n">
        <v>15</v>
      </c>
      <c r="AH227" t="n">
        <v>1</v>
      </c>
      <c r="AI227" t="n">
        <v>5</v>
      </c>
      <c r="AJ227" t="n">
        <v>8</v>
      </c>
      <c r="AK227" t="n">
        <v>15</v>
      </c>
      <c r="AL227" t="n">
        <v>0</v>
      </c>
      <c r="AM227" t="n">
        <v>3</v>
      </c>
      <c r="AN227" t="n">
        <v>0</v>
      </c>
      <c r="AO227" t="n">
        <v>0</v>
      </c>
      <c r="AP227" t="inlineStr">
        <is>
          <t>No</t>
        </is>
      </c>
      <c r="AQ227" t="inlineStr">
        <is>
          <t>Yes</t>
        </is>
      </c>
      <c r="AR227">
        <f>HYPERLINK("http://catalog.hathitrust.org/Record/000230802","HathiTrust Record")</f>
        <v/>
      </c>
      <c r="AS227">
        <f>HYPERLINK("https://creighton-primo.hosted.exlibrisgroup.com/primo-explore/search?tab=default_tab&amp;search_scope=EVERYTHING&amp;vid=01CRU&amp;lang=en_US&amp;offset=0&amp;query=any,contains,991004287639702656","Catalog Record")</f>
        <v/>
      </c>
      <c r="AT227">
        <f>HYPERLINK("http://www.worldcat.org/oclc/2379072","WorldCat Record")</f>
        <v/>
      </c>
      <c r="AU227" t="inlineStr">
        <is>
          <t>10141477885:eng</t>
        </is>
      </c>
      <c r="AV227" t="inlineStr">
        <is>
          <t>2379072</t>
        </is>
      </c>
      <c r="AW227" t="inlineStr">
        <is>
          <t>991004287639702656</t>
        </is>
      </c>
      <c r="AX227" t="inlineStr">
        <is>
          <t>991004287639702656</t>
        </is>
      </c>
      <c r="AY227" t="inlineStr">
        <is>
          <t>2262881960002656</t>
        </is>
      </c>
      <c r="AZ227" t="inlineStr">
        <is>
          <t>BOOK</t>
        </is>
      </c>
      <c r="BB227" t="inlineStr">
        <is>
          <t>9780385061230</t>
        </is>
      </c>
      <c r="BC227" t="inlineStr">
        <is>
          <t>32285003263737</t>
        </is>
      </c>
      <c r="BD227" t="inlineStr">
        <is>
          <t>893882296</t>
        </is>
      </c>
    </row>
    <row r="228">
      <c r="A228" t="inlineStr">
        <is>
          <t>No</t>
        </is>
      </c>
      <c r="B228" t="inlineStr">
        <is>
          <t>NA705 .R53 1980b</t>
        </is>
      </c>
      <c r="C228" t="inlineStr">
        <is>
          <t>0                      NA 0705000R  53          1980b</t>
        </is>
      </c>
      <c r="D228" t="inlineStr">
        <is>
          <t>A field guide to American architecture / by Carole Rifkind.</t>
        </is>
      </c>
      <c r="F228" t="inlineStr">
        <is>
          <t>No</t>
        </is>
      </c>
      <c r="G228" t="inlineStr">
        <is>
          <t>1</t>
        </is>
      </c>
      <c r="H228" t="inlineStr">
        <is>
          <t>No</t>
        </is>
      </c>
      <c r="I228" t="inlineStr">
        <is>
          <t>No</t>
        </is>
      </c>
      <c r="J228" t="inlineStr">
        <is>
          <t>0</t>
        </is>
      </c>
      <c r="K228" t="inlineStr">
        <is>
          <t>Rifkind, Carole.</t>
        </is>
      </c>
      <c r="L228" t="inlineStr">
        <is>
          <t>New York : New American Library, c1980.</t>
        </is>
      </c>
      <c r="M228" t="inlineStr">
        <is>
          <t>1980</t>
        </is>
      </c>
      <c r="O228" t="inlineStr">
        <is>
          <t>eng</t>
        </is>
      </c>
      <c r="P228" t="inlineStr">
        <is>
          <t>nyu</t>
        </is>
      </c>
      <c r="R228" t="inlineStr">
        <is>
          <t xml:space="preserve">NA </t>
        </is>
      </c>
      <c r="S228" t="n">
        <v>24</v>
      </c>
      <c r="T228" t="n">
        <v>24</v>
      </c>
      <c r="U228" t="inlineStr">
        <is>
          <t>2009-03-04</t>
        </is>
      </c>
      <c r="V228" t="inlineStr">
        <is>
          <t>2009-03-04</t>
        </is>
      </c>
      <c r="W228" t="inlineStr">
        <is>
          <t>1991-01-30</t>
        </is>
      </c>
      <c r="X228" t="inlineStr">
        <is>
          <t>1991-01-30</t>
        </is>
      </c>
      <c r="Y228" t="n">
        <v>1320</v>
      </c>
      <c r="Z228" t="n">
        <v>1222</v>
      </c>
      <c r="AA228" t="n">
        <v>1761</v>
      </c>
      <c r="AB228" t="n">
        <v>7</v>
      </c>
      <c r="AC228" t="n">
        <v>12</v>
      </c>
      <c r="AD228" t="n">
        <v>21</v>
      </c>
      <c r="AE228" t="n">
        <v>32</v>
      </c>
      <c r="AF228" t="n">
        <v>9</v>
      </c>
      <c r="AG228" t="n">
        <v>13</v>
      </c>
      <c r="AH228" t="n">
        <v>4</v>
      </c>
      <c r="AI228" t="n">
        <v>6</v>
      </c>
      <c r="AJ228" t="n">
        <v>9</v>
      </c>
      <c r="AK228" t="n">
        <v>15</v>
      </c>
      <c r="AL228" t="n">
        <v>3</v>
      </c>
      <c r="AM228" t="n">
        <v>6</v>
      </c>
      <c r="AN228" t="n">
        <v>0</v>
      </c>
      <c r="AO228" t="n">
        <v>0</v>
      </c>
      <c r="AP228" t="inlineStr">
        <is>
          <t>No</t>
        </is>
      </c>
      <c r="AQ228" t="inlineStr">
        <is>
          <t>Yes</t>
        </is>
      </c>
      <c r="AR228">
        <f>HYPERLINK("http://catalog.hathitrust.org/Record/006937321","HathiTrust Record")</f>
        <v/>
      </c>
      <c r="AS228">
        <f>HYPERLINK("https://creighton-primo.hosted.exlibrisgroup.com/primo-explore/search?tab=default_tab&amp;search_scope=EVERYTHING&amp;vid=01CRU&amp;lang=en_US&amp;offset=0&amp;query=any,contains,991004893149702656","Catalog Record")</f>
        <v/>
      </c>
      <c r="AT228">
        <f>HYPERLINK("http://www.worldcat.org/oclc/5889305","WorldCat Record")</f>
        <v/>
      </c>
      <c r="AU228" t="inlineStr">
        <is>
          <t>3788201:eng</t>
        </is>
      </c>
      <c r="AV228" t="inlineStr">
        <is>
          <t>5889305</t>
        </is>
      </c>
      <c r="AW228" t="inlineStr">
        <is>
          <t>991004893149702656</t>
        </is>
      </c>
      <c r="AX228" t="inlineStr">
        <is>
          <t>991004893149702656</t>
        </is>
      </c>
      <c r="AY228" t="inlineStr">
        <is>
          <t>2271399150002656</t>
        </is>
      </c>
      <c r="AZ228" t="inlineStr">
        <is>
          <t>BOOK</t>
        </is>
      </c>
      <c r="BB228" t="inlineStr">
        <is>
          <t>9780452252240</t>
        </is>
      </c>
      <c r="BC228" t="inlineStr">
        <is>
          <t>32285000298983</t>
        </is>
      </c>
      <c r="BD228" t="inlineStr">
        <is>
          <t>893332151</t>
        </is>
      </c>
    </row>
    <row r="229">
      <c r="A229" t="inlineStr">
        <is>
          <t>No</t>
        </is>
      </c>
      <c r="B229" t="inlineStr">
        <is>
          <t>NA705 .S578</t>
        </is>
      </c>
      <c r="C229" t="inlineStr">
        <is>
          <t>0                      NA 0705000S  578</t>
        </is>
      </c>
      <c r="D229" t="inlineStr">
        <is>
          <t>The architecture of the United States / G.E. Kidder Smith ; in association with the Museum of Modern Art, New York ; introd. by Albert Bush-Brown.</t>
        </is>
      </c>
      <c r="E229" t="inlineStr">
        <is>
          <t>V.3</t>
        </is>
      </c>
      <c r="F229" t="inlineStr">
        <is>
          <t>Yes</t>
        </is>
      </c>
      <c r="G229" t="inlineStr">
        <is>
          <t>1</t>
        </is>
      </c>
      <c r="H229" t="inlineStr">
        <is>
          <t>No</t>
        </is>
      </c>
      <c r="I229" t="inlineStr">
        <is>
          <t>No</t>
        </is>
      </c>
      <c r="J229" t="inlineStr">
        <is>
          <t>0</t>
        </is>
      </c>
      <c r="K229" t="inlineStr">
        <is>
          <t>Smith, G. E. Kidder (George Everard Kidder), 1913-1997.</t>
        </is>
      </c>
      <c r="L229" t="inlineStr">
        <is>
          <t>Garden City, N.Y. : Anchor Press, 1981.</t>
        </is>
      </c>
      <c r="M229" t="inlineStr">
        <is>
          <t>1981</t>
        </is>
      </c>
      <c r="N229" t="inlineStr">
        <is>
          <t>1st ed.</t>
        </is>
      </c>
      <c r="O229" t="inlineStr">
        <is>
          <t>eng</t>
        </is>
      </c>
      <c r="P229" t="inlineStr">
        <is>
          <t>nyu</t>
        </is>
      </c>
      <c r="R229" t="inlineStr">
        <is>
          <t xml:space="preserve">NA </t>
        </is>
      </c>
      <c r="S229" t="n">
        <v>1</v>
      </c>
      <c r="T229" t="n">
        <v>22</v>
      </c>
      <c r="U229" t="inlineStr">
        <is>
          <t>1997-04-08</t>
        </is>
      </c>
      <c r="V229" t="inlineStr">
        <is>
          <t>2009-03-04</t>
        </is>
      </c>
      <c r="W229" t="inlineStr">
        <is>
          <t>1993-05-13</t>
        </is>
      </c>
      <c r="X229" t="inlineStr">
        <is>
          <t>1993-05-13</t>
        </is>
      </c>
      <c r="Y229" t="n">
        <v>952</v>
      </c>
      <c r="Z229" t="n">
        <v>893</v>
      </c>
      <c r="AA229" t="n">
        <v>899</v>
      </c>
      <c r="AB229" t="n">
        <v>5</v>
      </c>
      <c r="AC229" t="n">
        <v>5</v>
      </c>
      <c r="AD229" t="n">
        <v>22</v>
      </c>
      <c r="AE229" t="n">
        <v>22</v>
      </c>
      <c r="AF229" t="n">
        <v>8</v>
      </c>
      <c r="AG229" t="n">
        <v>8</v>
      </c>
      <c r="AH229" t="n">
        <v>4</v>
      </c>
      <c r="AI229" t="n">
        <v>4</v>
      </c>
      <c r="AJ229" t="n">
        <v>11</v>
      </c>
      <c r="AK229" t="n">
        <v>11</v>
      </c>
      <c r="AL229" t="n">
        <v>3</v>
      </c>
      <c r="AM229" t="n">
        <v>3</v>
      </c>
      <c r="AN229" t="n">
        <v>0</v>
      </c>
      <c r="AO229" t="n">
        <v>0</v>
      </c>
      <c r="AP229" t="inlineStr">
        <is>
          <t>No</t>
        </is>
      </c>
      <c r="AQ229" t="inlineStr">
        <is>
          <t>Yes</t>
        </is>
      </c>
      <c r="AR229">
        <f>HYPERLINK("http://catalog.hathitrust.org/Record/000144838","HathiTrust Record")</f>
        <v/>
      </c>
      <c r="AS229">
        <f>HYPERLINK("https://creighton-primo.hosted.exlibrisgroup.com/primo-explore/search?tab=default_tab&amp;search_scope=EVERYTHING&amp;vid=01CRU&amp;lang=en_US&amp;offset=0&amp;query=any,contains,991005058779702656","Catalog Record")</f>
        <v/>
      </c>
      <c r="AT229">
        <f>HYPERLINK("http://www.worldcat.org/oclc/6915859","WorldCat Record")</f>
        <v/>
      </c>
      <c r="AU229" t="inlineStr">
        <is>
          <t>2799091586:eng</t>
        </is>
      </c>
      <c r="AV229" t="inlineStr">
        <is>
          <t>6915859</t>
        </is>
      </c>
      <c r="AW229" t="inlineStr">
        <is>
          <t>991005058779702656</t>
        </is>
      </c>
      <c r="AX229" t="inlineStr">
        <is>
          <t>991005058779702656</t>
        </is>
      </c>
      <c r="AY229" t="inlineStr">
        <is>
          <t>2265701480002656</t>
        </is>
      </c>
      <c r="AZ229" t="inlineStr">
        <is>
          <t>BOOK</t>
        </is>
      </c>
      <c r="BB229" t="inlineStr">
        <is>
          <t>9780385146722</t>
        </is>
      </c>
      <c r="BC229" t="inlineStr">
        <is>
          <t>32285001654465</t>
        </is>
      </c>
      <c r="BD229" t="inlineStr">
        <is>
          <t>893344576</t>
        </is>
      </c>
    </row>
    <row r="230">
      <c r="A230" t="inlineStr">
        <is>
          <t>No</t>
        </is>
      </c>
      <c r="B230" t="inlineStr">
        <is>
          <t>NA705 .S578</t>
        </is>
      </c>
      <c r="C230" t="inlineStr">
        <is>
          <t>0                      NA 0705000S  578</t>
        </is>
      </c>
      <c r="D230" t="inlineStr">
        <is>
          <t>The architecture of the United States / G.E. Kidder Smith ; in association with the Museum of Modern Art, New York ; introd. by Albert Bush-Brown.</t>
        </is>
      </c>
      <c r="E230" t="inlineStr">
        <is>
          <t>V.1</t>
        </is>
      </c>
      <c r="F230" t="inlineStr">
        <is>
          <t>Yes</t>
        </is>
      </c>
      <c r="G230" t="inlineStr">
        <is>
          <t>1</t>
        </is>
      </c>
      <c r="H230" t="inlineStr">
        <is>
          <t>No</t>
        </is>
      </c>
      <c r="I230" t="inlineStr">
        <is>
          <t>No</t>
        </is>
      </c>
      <c r="J230" t="inlineStr">
        <is>
          <t>0</t>
        </is>
      </c>
      <c r="K230" t="inlineStr">
        <is>
          <t>Smith, G. E. Kidder (George Everard Kidder), 1913-1997.</t>
        </is>
      </c>
      <c r="L230" t="inlineStr">
        <is>
          <t>Garden City, N.Y. : Anchor Press, 1981.</t>
        </is>
      </c>
      <c r="M230" t="inlineStr">
        <is>
          <t>1981</t>
        </is>
      </c>
      <c r="N230" t="inlineStr">
        <is>
          <t>1st ed.</t>
        </is>
      </c>
      <c r="O230" t="inlineStr">
        <is>
          <t>eng</t>
        </is>
      </c>
      <c r="P230" t="inlineStr">
        <is>
          <t>nyu</t>
        </is>
      </c>
      <c r="R230" t="inlineStr">
        <is>
          <t xml:space="preserve">NA </t>
        </is>
      </c>
      <c r="S230" t="n">
        <v>16</v>
      </c>
      <c r="T230" t="n">
        <v>22</v>
      </c>
      <c r="U230" t="inlineStr">
        <is>
          <t>2009-03-04</t>
        </is>
      </c>
      <c r="V230" t="inlineStr">
        <is>
          <t>2009-03-04</t>
        </is>
      </c>
      <c r="W230" t="inlineStr">
        <is>
          <t>1992-02-24</t>
        </is>
      </c>
      <c r="X230" t="inlineStr">
        <is>
          <t>1993-05-13</t>
        </is>
      </c>
      <c r="Y230" t="n">
        <v>952</v>
      </c>
      <c r="Z230" t="n">
        <v>893</v>
      </c>
      <c r="AA230" t="n">
        <v>899</v>
      </c>
      <c r="AB230" t="n">
        <v>5</v>
      </c>
      <c r="AC230" t="n">
        <v>5</v>
      </c>
      <c r="AD230" t="n">
        <v>22</v>
      </c>
      <c r="AE230" t="n">
        <v>22</v>
      </c>
      <c r="AF230" t="n">
        <v>8</v>
      </c>
      <c r="AG230" t="n">
        <v>8</v>
      </c>
      <c r="AH230" t="n">
        <v>4</v>
      </c>
      <c r="AI230" t="n">
        <v>4</v>
      </c>
      <c r="AJ230" t="n">
        <v>11</v>
      </c>
      <c r="AK230" t="n">
        <v>11</v>
      </c>
      <c r="AL230" t="n">
        <v>3</v>
      </c>
      <c r="AM230" t="n">
        <v>3</v>
      </c>
      <c r="AN230" t="n">
        <v>0</v>
      </c>
      <c r="AO230" t="n">
        <v>0</v>
      </c>
      <c r="AP230" t="inlineStr">
        <is>
          <t>No</t>
        </is>
      </c>
      <c r="AQ230" t="inlineStr">
        <is>
          <t>Yes</t>
        </is>
      </c>
      <c r="AR230">
        <f>HYPERLINK("http://catalog.hathitrust.org/Record/000144838","HathiTrust Record")</f>
        <v/>
      </c>
      <c r="AS230">
        <f>HYPERLINK("https://creighton-primo.hosted.exlibrisgroup.com/primo-explore/search?tab=default_tab&amp;search_scope=EVERYTHING&amp;vid=01CRU&amp;lang=en_US&amp;offset=0&amp;query=any,contains,991005058779702656","Catalog Record")</f>
        <v/>
      </c>
      <c r="AT230">
        <f>HYPERLINK("http://www.worldcat.org/oclc/6915859","WorldCat Record")</f>
        <v/>
      </c>
      <c r="AU230" t="inlineStr">
        <is>
          <t>2799091586:eng</t>
        </is>
      </c>
      <c r="AV230" t="inlineStr">
        <is>
          <t>6915859</t>
        </is>
      </c>
      <c r="AW230" t="inlineStr">
        <is>
          <t>991005058779702656</t>
        </is>
      </c>
      <c r="AX230" t="inlineStr">
        <is>
          <t>991005058779702656</t>
        </is>
      </c>
      <c r="AY230" t="inlineStr">
        <is>
          <t>2265701480002656</t>
        </is>
      </c>
      <c r="AZ230" t="inlineStr">
        <is>
          <t>BOOK</t>
        </is>
      </c>
      <c r="BB230" t="inlineStr">
        <is>
          <t>9780385146722</t>
        </is>
      </c>
      <c r="BC230" t="inlineStr">
        <is>
          <t>32285000974252</t>
        </is>
      </c>
      <c r="BD230" t="inlineStr">
        <is>
          <t>893344575</t>
        </is>
      </c>
    </row>
    <row r="231">
      <c r="A231" t="inlineStr">
        <is>
          <t>No</t>
        </is>
      </c>
      <c r="B231" t="inlineStr">
        <is>
          <t>NA705 .S578</t>
        </is>
      </c>
      <c r="C231" t="inlineStr">
        <is>
          <t>0                      NA 0705000S  578</t>
        </is>
      </c>
      <c r="D231" t="inlineStr">
        <is>
          <t>The architecture of the United States / G.E. Kidder Smith ; in association with the Museum of Modern Art, New York ; introd. by Albert Bush-Brown.</t>
        </is>
      </c>
      <c r="E231" t="inlineStr">
        <is>
          <t>V.2</t>
        </is>
      </c>
      <c r="F231" t="inlineStr">
        <is>
          <t>Yes</t>
        </is>
      </c>
      <c r="G231" t="inlineStr">
        <is>
          <t>1</t>
        </is>
      </c>
      <c r="H231" t="inlineStr">
        <is>
          <t>No</t>
        </is>
      </c>
      <c r="I231" t="inlineStr">
        <is>
          <t>No</t>
        </is>
      </c>
      <c r="J231" t="inlineStr">
        <is>
          <t>0</t>
        </is>
      </c>
      <c r="K231" t="inlineStr">
        <is>
          <t>Smith, G. E. Kidder (George Everard Kidder), 1913-1997.</t>
        </is>
      </c>
      <c r="L231" t="inlineStr">
        <is>
          <t>Garden City, N.Y. : Anchor Press, 1981.</t>
        </is>
      </c>
      <c r="M231" t="inlineStr">
        <is>
          <t>1981</t>
        </is>
      </c>
      <c r="N231" t="inlineStr">
        <is>
          <t>1st ed.</t>
        </is>
      </c>
      <c r="O231" t="inlineStr">
        <is>
          <t>eng</t>
        </is>
      </c>
      <c r="P231" t="inlineStr">
        <is>
          <t>nyu</t>
        </is>
      </c>
      <c r="R231" t="inlineStr">
        <is>
          <t xml:space="preserve">NA </t>
        </is>
      </c>
      <c r="S231" t="n">
        <v>5</v>
      </c>
      <c r="T231" t="n">
        <v>22</v>
      </c>
      <c r="U231" t="inlineStr">
        <is>
          <t>2003-04-25</t>
        </is>
      </c>
      <c r="V231" t="inlineStr">
        <is>
          <t>2009-03-04</t>
        </is>
      </c>
      <c r="W231" t="inlineStr">
        <is>
          <t>1991-09-26</t>
        </is>
      </c>
      <c r="X231" t="inlineStr">
        <is>
          <t>1993-05-13</t>
        </is>
      </c>
      <c r="Y231" t="n">
        <v>952</v>
      </c>
      <c r="Z231" t="n">
        <v>893</v>
      </c>
      <c r="AA231" t="n">
        <v>899</v>
      </c>
      <c r="AB231" t="n">
        <v>5</v>
      </c>
      <c r="AC231" t="n">
        <v>5</v>
      </c>
      <c r="AD231" t="n">
        <v>22</v>
      </c>
      <c r="AE231" t="n">
        <v>22</v>
      </c>
      <c r="AF231" t="n">
        <v>8</v>
      </c>
      <c r="AG231" t="n">
        <v>8</v>
      </c>
      <c r="AH231" t="n">
        <v>4</v>
      </c>
      <c r="AI231" t="n">
        <v>4</v>
      </c>
      <c r="AJ231" t="n">
        <v>11</v>
      </c>
      <c r="AK231" t="n">
        <v>11</v>
      </c>
      <c r="AL231" t="n">
        <v>3</v>
      </c>
      <c r="AM231" t="n">
        <v>3</v>
      </c>
      <c r="AN231" t="n">
        <v>0</v>
      </c>
      <c r="AO231" t="n">
        <v>0</v>
      </c>
      <c r="AP231" t="inlineStr">
        <is>
          <t>No</t>
        </is>
      </c>
      <c r="AQ231" t="inlineStr">
        <is>
          <t>Yes</t>
        </is>
      </c>
      <c r="AR231">
        <f>HYPERLINK("http://catalog.hathitrust.org/Record/000144838","HathiTrust Record")</f>
        <v/>
      </c>
      <c r="AS231">
        <f>HYPERLINK("https://creighton-primo.hosted.exlibrisgroup.com/primo-explore/search?tab=default_tab&amp;search_scope=EVERYTHING&amp;vid=01CRU&amp;lang=en_US&amp;offset=0&amp;query=any,contains,991005058779702656","Catalog Record")</f>
        <v/>
      </c>
      <c r="AT231">
        <f>HYPERLINK("http://www.worldcat.org/oclc/6915859","WorldCat Record")</f>
        <v/>
      </c>
      <c r="AU231" t="inlineStr">
        <is>
          <t>2799091586:eng</t>
        </is>
      </c>
      <c r="AV231" t="inlineStr">
        <is>
          <t>6915859</t>
        </is>
      </c>
      <c r="AW231" t="inlineStr">
        <is>
          <t>991005058779702656</t>
        </is>
      </c>
      <c r="AX231" t="inlineStr">
        <is>
          <t>991005058779702656</t>
        </is>
      </c>
      <c r="AY231" t="inlineStr">
        <is>
          <t>2265701480002656</t>
        </is>
      </c>
      <c r="AZ231" t="inlineStr">
        <is>
          <t>BOOK</t>
        </is>
      </c>
      <c r="BB231" t="inlineStr">
        <is>
          <t>9780385146722</t>
        </is>
      </c>
      <c r="BC231" t="inlineStr">
        <is>
          <t>32285000763879</t>
        </is>
      </c>
      <c r="BD231" t="inlineStr">
        <is>
          <t>893344574</t>
        </is>
      </c>
    </row>
    <row r="232">
      <c r="A232" t="inlineStr">
        <is>
          <t>No</t>
        </is>
      </c>
      <c r="B232" t="inlineStr">
        <is>
          <t>NA705 .S58 1981</t>
        </is>
      </c>
      <c r="C232" t="inlineStr">
        <is>
          <t>0                      NA 0705000S  58          1981</t>
        </is>
      </c>
      <c r="D232" t="inlineStr">
        <is>
          <t>A pictorial history of architecture in America / by G.E. Kidder Smith ; chapter introductions by Marshall B. Davidson, editor in charge.</t>
        </is>
      </c>
      <c r="F232" t="inlineStr">
        <is>
          <t>No</t>
        </is>
      </c>
      <c r="G232" t="inlineStr">
        <is>
          <t>1</t>
        </is>
      </c>
      <c r="H232" t="inlineStr">
        <is>
          <t>No</t>
        </is>
      </c>
      <c r="I232" t="inlineStr">
        <is>
          <t>No</t>
        </is>
      </c>
      <c r="J232" t="inlineStr">
        <is>
          <t>0</t>
        </is>
      </c>
      <c r="K232" t="inlineStr">
        <is>
          <t>Smith, G. E. Kidder (George Everard Kidder), 1913-1997.</t>
        </is>
      </c>
      <c r="L232" t="inlineStr">
        <is>
          <t>New York : Bonanza Books : Distributed by Crown, 1981, c1976.</t>
        </is>
      </c>
      <c r="M232" t="inlineStr">
        <is>
          <t>1981</t>
        </is>
      </c>
      <c r="N232" t="inlineStr">
        <is>
          <t>1981 ed.</t>
        </is>
      </c>
      <c r="O232" t="inlineStr">
        <is>
          <t>eng</t>
        </is>
      </c>
      <c r="P232" t="inlineStr">
        <is>
          <t>nyu</t>
        </is>
      </c>
      <c r="R232" t="inlineStr">
        <is>
          <t xml:space="preserve">NA </t>
        </is>
      </c>
      <c r="S232" t="n">
        <v>21</v>
      </c>
      <c r="T232" t="n">
        <v>21</v>
      </c>
      <c r="U232" t="inlineStr">
        <is>
          <t>2005-04-05</t>
        </is>
      </c>
      <c r="V232" t="inlineStr">
        <is>
          <t>2005-04-05</t>
        </is>
      </c>
      <c r="W232" t="inlineStr">
        <is>
          <t>1990-06-15</t>
        </is>
      </c>
      <c r="X232" t="inlineStr">
        <is>
          <t>1990-06-15</t>
        </is>
      </c>
      <c r="Y232" t="n">
        <v>341</v>
      </c>
      <c r="Z232" t="n">
        <v>330</v>
      </c>
      <c r="AA232" t="n">
        <v>1592</v>
      </c>
      <c r="AB232" t="n">
        <v>2</v>
      </c>
      <c r="AC232" t="n">
        <v>14</v>
      </c>
      <c r="AD232" t="n">
        <v>8</v>
      </c>
      <c r="AE232" t="n">
        <v>43</v>
      </c>
      <c r="AF232" t="n">
        <v>7</v>
      </c>
      <c r="AG232" t="n">
        <v>19</v>
      </c>
      <c r="AH232" t="n">
        <v>0</v>
      </c>
      <c r="AI232" t="n">
        <v>8</v>
      </c>
      <c r="AJ232" t="n">
        <v>3</v>
      </c>
      <c r="AK232" t="n">
        <v>19</v>
      </c>
      <c r="AL232" t="n">
        <v>0</v>
      </c>
      <c r="AM232" t="n">
        <v>8</v>
      </c>
      <c r="AN232" t="n">
        <v>0</v>
      </c>
      <c r="AO232" t="n">
        <v>0</v>
      </c>
      <c r="AP232" t="inlineStr">
        <is>
          <t>No</t>
        </is>
      </c>
      <c r="AQ232" t="inlineStr">
        <is>
          <t>Yes</t>
        </is>
      </c>
      <c r="AR232">
        <f>HYPERLINK("http://catalog.hathitrust.org/Record/101924879","HathiTrust Record")</f>
        <v/>
      </c>
      <c r="AS232">
        <f>HYPERLINK("https://creighton-primo.hosted.exlibrisgroup.com/primo-explore/search?tab=default_tab&amp;search_scope=EVERYTHING&amp;vid=01CRU&amp;lang=en_US&amp;offset=0&amp;query=any,contains,991005169089702656","Catalog Record")</f>
        <v/>
      </c>
      <c r="AT232">
        <f>HYPERLINK("http://www.worldcat.org/oclc/7837837","WorldCat Record")</f>
        <v/>
      </c>
      <c r="AU232" t="inlineStr">
        <is>
          <t>350222013:eng</t>
        </is>
      </c>
      <c r="AV232" t="inlineStr">
        <is>
          <t>7837837</t>
        </is>
      </c>
      <c r="AW232" t="inlineStr">
        <is>
          <t>991005169089702656</t>
        </is>
      </c>
      <c r="AX232" t="inlineStr">
        <is>
          <t>991005169089702656</t>
        </is>
      </c>
      <c r="AY232" t="inlineStr">
        <is>
          <t>2256752230002656</t>
        </is>
      </c>
      <c r="AZ232" t="inlineStr">
        <is>
          <t>BOOK</t>
        </is>
      </c>
      <c r="BB232" t="inlineStr">
        <is>
          <t>9780517362372</t>
        </is>
      </c>
      <c r="BC232" t="inlineStr">
        <is>
          <t>32285000197490</t>
        </is>
      </c>
      <c r="BD232" t="inlineStr">
        <is>
          <t>893514164</t>
        </is>
      </c>
    </row>
    <row r="233">
      <c r="A233" t="inlineStr">
        <is>
          <t>No</t>
        </is>
      </c>
      <c r="B233" t="inlineStr">
        <is>
          <t>NA705 .S74 1986</t>
        </is>
      </c>
      <c r="C233" t="inlineStr">
        <is>
          <t>0                      NA 0705000S  74          1986</t>
        </is>
      </c>
      <c r="D233" t="inlineStr">
        <is>
          <t>Pride of place : building the American dream / Robert A.M. Stern.</t>
        </is>
      </c>
      <c r="F233" t="inlineStr">
        <is>
          <t>No</t>
        </is>
      </c>
      <c r="G233" t="inlineStr">
        <is>
          <t>1</t>
        </is>
      </c>
      <c r="H233" t="inlineStr">
        <is>
          <t>No</t>
        </is>
      </c>
      <c r="I233" t="inlineStr">
        <is>
          <t>No</t>
        </is>
      </c>
      <c r="J233" t="inlineStr">
        <is>
          <t>0</t>
        </is>
      </c>
      <c r="K233" t="inlineStr">
        <is>
          <t>Stern, Robert A. M.</t>
        </is>
      </c>
      <c r="L233" t="inlineStr">
        <is>
          <t>Boston : Houghton Mifflin, 1986.</t>
        </is>
      </c>
      <c r="M233" t="inlineStr">
        <is>
          <t>1986</t>
        </is>
      </c>
      <c r="O233" t="inlineStr">
        <is>
          <t>eng</t>
        </is>
      </c>
      <c r="P233" t="inlineStr">
        <is>
          <t>mau</t>
        </is>
      </c>
      <c r="R233" t="inlineStr">
        <is>
          <t xml:space="preserve">NA </t>
        </is>
      </c>
      <c r="S233" t="n">
        <v>5</v>
      </c>
      <c r="T233" t="n">
        <v>5</v>
      </c>
      <c r="U233" t="inlineStr">
        <is>
          <t>1999-02-23</t>
        </is>
      </c>
      <c r="V233" t="inlineStr">
        <is>
          <t>1999-02-23</t>
        </is>
      </c>
      <c r="W233" t="inlineStr">
        <is>
          <t>1993-05-12</t>
        </is>
      </c>
      <c r="X233" t="inlineStr">
        <is>
          <t>1993-05-12</t>
        </is>
      </c>
      <c r="Y233" t="n">
        <v>1303</v>
      </c>
      <c r="Z233" t="n">
        <v>1207</v>
      </c>
      <c r="AA233" t="n">
        <v>1214</v>
      </c>
      <c r="AB233" t="n">
        <v>9</v>
      </c>
      <c r="AC233" t="n">
        <v>9</v>
      </c>
      <c r="AD233" t="n">
        <v>30</v>
      </c>
      <c r="AE233" t="n">
        <v>30</v>
      </c>
      <c r="AF233" t="n">
        <v>12</v>
      </c>
      <c r="AG233" t="n">
        <v>12</v>
      </c>
      <c r="AH233" t="n">
        <v>7</v>
      </c>
      <c r="AI233" t="n">
        <v>7</v>
      </c>
      <c r="AJ233" t="n">
        <v>14</v>
      </c>
      <c r="AK233" t="n">
        <v>14</v>
      </c>
      <c r="AL233" t="n">
        <v>4</v>
      </c>
      <c r="AM233" t="n">
        <v>4</v>
      </c>
      <c r="AN233" t="n">
        <v>0</v>
      </c>
      <c r="AO233" t="n">
        <v>0</v>
      </c>
      <c r="AP233" t="inlineStr">
        <is>
          <t>No</t>
        </is>
      </c>
      <c r="AQ233" t="inlineStr">
        <is>
          <t>Yes</t>
        </is>
      </c>
      <c r="AR233">
        <f>HYPERLINK("http://catalog.hathitrust.org/Record/000431853","HathiTrust Record")</f>
        <v/>
      </c>
      <c r="AS233">
        <f>HYPERLINK("https://creighton-primo.hosted.exlibrisgroup.com/primo-explore/search?tab=default_tab&amp;search_scope=EVERYTHING&amp;vid=01CRU&amp;lang=en_US&amp;offset=0&amp;query=any,contains,991000759589702656","Catalog Record")</f>
        <v/>
      </c>
      <c r="AT233">
        <f>HYPERLINK("http://www.worldcat.org/oclc/12971572","WorldCat Record")</f>
        <v/>
      </c>
      <c r="AU233" t="inlineStr">
        <is>
          <t>906983558:eng</t>
        </is>
      </c>
      <c r="AV233" t="inlineStr">
        <is>
          <t>12971572</t>
        </is>
      </c>
      <c r="AW233" t="inlineStr">
        <is>
          <t>991000759589702656</t>
        </is>
      </c>
      <c r="AX233" t="inlineStr">
        <is>
          <t>991000759589702656</t>
        </is>
      </c>
      <c r="AY233" t="inlineStr">
        <is>
          <t>2268023460002656</t>
        </is>
      </c>
      <c r="AZ233" t="inlineStr">
        <is>
          <t>BOOK</t>
        </is>
      </c>
      <c r="BB233" t="inlineStr">
        <is>
          <t>9780395366967</t>
        </is>
      </c>
      <c r="BC233" t="inlineStr">
        <is>
          <t>32285001653756</t>
        </is>
      </c>
      <c r="BD233" t="inlineStr">
        <is>
          <t>893884732</t>
        </is>
      </c>
    </row>
    <row r="234">
      <c r="A234" t="inlineStr">
        <is>
          <t>No</t>
        </is>
      </c>
      <c r="B234" t="inlineStr">
        <is>
          <t>NA705 .T3</t>
        </is>
      </c>
      <c r="C234" t="inlineStr">
        <is>
          <t>0                      NA 0705000T  3</t>
        </is>
      </c>
      <c r="D234" t="inlineStr">
        <is>
          <t>The story of architecture in America / by Thomas E. Tallmadge.</t>
        </is>
      </c>
      <c r="F234" t="inlineStr">
        <is>
          <t>No</t>
        </is>
      </c>
      <c r="G234" t="inlineStr">
        <is>
          <t>1</t>
        </is>
      </c>
      <c r="H234" t="inlineStr">
        <is>
          <t>No</t>
        </is>
      </c>
      <c r="I234" t="inlineStr">
        <is>
          <t>No</t>
        </is>
      </c>
      <c r="J234" t="inlineStr">
        <is>
          <t>0</t>
        </is>
      </c>
      <c r="K234" t="inlineStr">
        <is>
          <t>Tallmadge, Thomas E. (Thomas Eddy), 1876-1940.</t>
        </is>
      </c>
      <c r="L234" t="inlineStr">
        <is>
          <t>New York, W. W. Norton &amp; company, inc. [c1927]</t>
        </is>
      </c>
      <c r="M234" t="inlineStr">
        <is>
          <t>1927</t>
        </is>
      </c>
      <c r="O234" t="inlineStr">
        <is>
          <t>eng</t>
        </is>
      </c>
      <c r="P234" t="inlineStr">
        <is>
          <t>nyu</t>
        </is>
      </c>
      <c r="R234" t="inlineStr">
        <is>
          <t xml:space="preserve">NA </t>
        </is>
      </c>
      <c r="S234" t="n">
        <v>2</v>
      </c>
      <c r="T234" t="n">
        <v>2</v>
      </c>
      <c r="U234" t="inlineStr">
        <is>
          <t>1999-02-23</t>
        </is>
      </c>
      <c r="V234" t="inlineStr">
        <is>
          <t>1999-02-23</t>
        </is>
      </c>
      <c r="W234" t="inlineStr">
        <is>
          <t>1997-09-10</t>
        </is>
      </c>
      <c r="X234" t="inlineStr">
        <is>
          <t>1997-09-10</t>
        </is>
      </c>
      <c r="Y234" t="n">
        <v>415</v>
      </c>
      <c r="Z234" t="n">
        <v>390</v>
      </c>
      <c r="AA234" t="n">
        <v>780</v>
      </c>
      <c r="AB234" t="n">
        <v>6</v>
      </c>
      <c r="AC234" t="n">
        <v>12</v>
      </c>
      <c r="AD234" t="n">
        <v>17</v>
      </c>
      <c r="AE234" t="n">
        <v>33</v>
      </c>
      <c r="AF234" t="n">
        <v>7</v>
      </c>
      <c r="AG234" t="n">
        <v>15</v>
      </c>
      <c r="AH234" t="n">
        <v>2</v>
      </c>
      <c r="AI234" t="n">
        <v>4</v>
      </c>
      <c r="AJ234" t="n">
        <v>7</v>
      </c>
      <c r="AK234" t="n">
        <v>14</v>
      </c>
      <c r="AL234" t="n">
        <v>4</v>
      </c>
      <c r="AM234" t="n">
        <v>7</v>
      </c>
      <c r="AN234" t="n">
        <v>0</v>
      </c>
      <c r="AO234" t="n">
        <v>0</v>
      </c>
      <c r="AP234" t="inlineStr">
        <is>
          <t>No</t>
        </is>
      </c>
      <c r="AQ234" t="inlineStr">
        <is>
          <t>Yes</t>
        </is>
      </c>
      <c r="AR234">
        <f>HYPERLINK("http://catalog.hathitrust.org/Record/000411453","HathiTrust Record")</f>
        <v/>
      </c>
      <c r="AS234">
        <f>HYPERLINK("https://creighton-primo.hosted.exlibrisgroup.com/primo-explore/search?tab=default_tab&amp;search_scope=EVERYTHING&amp;vid=01CRU&amp;lang=en_US&amp;offset=0&amp;query=any,contains,991003435189702656","Catalog Record")</f>
        <v/>
      </c>
      <c r="AT234">
        <f>HYPERLINK("http://www.worldcat.org/oclc/970294","WorldCat Record")</f>
        <v/>
      </c>
      <c r="AU234" t="inlineStr">
        <is>
          <t>1927672:eng</t>
        </is>
      </c>
      <c r="AV234" t="inlineStr">
        <is>
          <t>970294</t>
        </is>
      </c>
      <c r="AW234" t="inlineStr">
        <is>
          <t>991003435189702656</t>
        </is>
      </c>
      <c r="AX234" t="inlineStr">
        <is>
          <t>991003435189702656</t>
        </is>
      </c>
      <c r="AY234" t="inlineStr">
        <is>
          <t>2257094230002656</t>
        </is>
      </c>
      <c r="AZ234" t="inlineStr">
        <is>
          <t>BOOK</t>
        </is>
      </c>
      <c r="BC234" t="inlineStr">
        <is>
          <t>32285003170171</t>
        </is>
      </c>
      <c r="BD234" t="inlineStr">
        <is>
          <t>893692715</t>
        </is>
      </c>
    </row>
    <row r="235">
      <c r="A235" t="inlineStr">
        <is>
          <t>No</t>
        </is>
      </c>
      <c r="B235" t="inlineStr">
        <is>
          <t>NA705 .U78 1998</t>
        </is>
      </c>
      <c r="C235" t="inlineStr">
        <is>
          <t>0                      NA 0705000U  78          1998</t>
        </is>
      </c>
      <c r="D235" t="inlineStr">
        <is>
          <t>Architecture in the United States / Dell Upton.</t>
        </is>
      </c>
      <c r="F235" t="inlineStr">
        <is>
          <t>No</t>
        </is>
      </c>
      <c r="G235" t="inlineStr">
        <is>
          <t>1</t>
        </is>
      </c>
      <c r="H235" t="inlineStr">
        <is>
          <t>No</t>
        </is>
      </c>
      <c r="I235" t="inlineStr">
        <is>
          <t>No</t>
        </is>
      </c>
      <c r="J235" t="inlineStr">
        <is>
          <t>0</t>
        </is>
      </c>
      <c r="K235" t="inlineStr">
        <is>
          <t>Upton, Dell.</t>
        </is>
      </c>
      <c r="L235" t="inlineStr">
        <is>
          <t>Oxford ; New York : Oxford University Press, 1998.</t>
        </is>
      </c>
      <c r="M235" t="inlineStr">
        <is>
          <t>1998</t>
        </is>
      </c>
      <c r="O235" t="inlineStr">
        <is>
          <t>eng</t>
        </is>
      </c>
      <c r="P235" t="inlineStr">
        <is>
          <t>enk</t>
        </is>
      </c>
      <c r="Q235" t="inlineStr">
        <is>
          <t>Oxford history of art</t>
        </is>
      </c>
      <c r="R235" t="inlineStr">
        <is>
          <t xml:space="preserve">NA </t>
        </is>
      </c>
      <c r="S235" t="n">
        <v>4</v>
      </c>
      <c r="T235" t="n">
        <v>4</v>
      </c>
      <c r="U235" t="inlineStr">
        <is>
          <t>2009-08-25</t>
        </is>
      </c>
      <c r="V235" t="inlineStr">
        <is>
          <t>2009-08-25</t>
        </is>
      </c>
      <c r="W235" t="inlineStr">
        <is>
          <t>1999-05-10</t>
        </is>
      </c>
      <c r="X235" t="inlineStr">
        <is>
          <t>1999-05-10</t>
        </is>
      </c>
      <c r="Y235" t="n">
        <v>1749</v>
      </c>
      <c r="Z235" t="n">
        <v>1522</v>
      </c>
      <c r="AA235" t="n">
        <v>2430</v>
      </c>
      <c r="AB235" t="n">
        <v>17</v>
      </c>
      <c r="AC235" t="n">
        <v>19</v>
      </c>
      <c r="AD235" t="n">
        <v>45</v>
      </c>
      <c r="AE235" t="n">
        <v>58</v>
      </c>
      <c r="AF235" t="n">
        <v>16</v>
      </c>
      <c r="AG235" t="n">
        <v>24</v>
      </c>
      <c r="AH235" t="n">
        <v>8</v>
      </c>
      <c r="AI235" t="n">
        <v>11</v>
      </c>
      <c r="AJ235" t="n">
        <v>17</v>
      </c>
      <c r="AK235" t="n">
        <v>24</v>
      </c>
      <c r="AL235" t="n">
        <v>11</v>
      </c>
      <c r="AM235" t="n">
        <v>12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HYPERLINK("https://creighton-primo.hosted.exlibrisgroup.com/primo-explore/search?tab=default_tab&amp;search_scope=EVERYTHING&amp;vid=01CRU&amp;lang=en_US&amp;offset=0&amp;query=any,contains,991002975249702656","Catalog Record")</f>
        <v/>
      </c>
      <c r="AT235">
        <f>HYPERLINK("http://www.worldcat.org/oclc/39890647","WorldCat Record")</f>
        <v/>
      </c>
      <c r="AU235" t="inlineStr">
        <is>
          <t>986142:eng</t>
        </is>
      </c>
      <c r="AV235" t="inlineStr">
        <is>
          <t>39890647</t>
        </is>
      </c>
      <c r="AW235" t="inlineStr">
        <is>
          <t>991002975249702656</t>
        </is>
      </c>
      <c r="AX235" t="inlineStr">
        <is>
          <t>991002975249702656</t>
        </is>
      </c>
      <c r="AY235" t="inlineStr">
        <is>
          <t>2261369670002656</t>
        </is>
      </c>
      <c r="AZ235" t="inlineStr">
        <is>
          <t>BOOK</t>
        </is>
      </c>
      <c r="BB235" t="inlineStr">
        <is>
          <t>9780192842176</t>
        </is>
      </c>
      <c r="BC235" t="inlineStr">
        <is>
          <t>32285003559761</t>
        </is>
      </c>
      <c r="BD235" t="inlineStr">
        <is>
          <t>893524276</t>
        </is>
      </c>
    </row>
    <row r="236">
      <c r="A236" t="inlineStr">
        <is>
          <t>No</t>
        </is>
      </c>
      <c r="B236" t="inlineStr">
        <is>
          <t>NA705 .W47 1992</t>
        </is>
      </c>
      <c r="C236" t="inlineStr">
        <is>
          <t>0                      NA 0705000W  47          1992</t>
        </is>
      </c>
      <c r="D236" t="inlineStr">
        <is>
          <t>American architecture since 1780 : a guide to the styles / Marcus Whiffen.</t>
        </is>
      </c>
      <c r="F236" t="inlineStr">
        <is>
          <t>No</t>
        </is>
      </c>
      <c r="G236" t="inlineStr">
        <is>
          <t>1</t>
        </is>
      </c>
      <c r="H236" t="inlineStr">
        <is>
          <t>No</t>
        </is>
      </c>
      <c r="I236" t="inlineStr">
        <is>
          <t>No</t>
        </is>
      </c>
      <c r="J236" t="inlineStr">
        <is>
          <t>0</t>
        </is>
      </c>
      <c r="K236" t="inlineStr">
        <is>
          <t>Whiffen, Marcus.</t>
        </is>
      </c>
      <c r="L236" t="inlineStr">
        <is>
          <t>Cambridge, Mass. : MIT Press, c1992.</t>
        </is>
      </c>
      <c r="M236" t="inlineStr">
        <is>
          <t>1992</t>
        </is>
      </c>
      <c r="N236" t="inlineStr">
        <is>
          <t>Rev. ed.</t>
        </is>
      </c>
      <c r="O236" t="inlineStr">
        <is>
          <t>eng</t>
        </is>
      </c>
      <c r="P236" t="inlineStr">
        <is>
          <t>mau</t>
        </is>
      </c>
      <c r="R236" t="inlineStr">
        <is>
          <t xml:space="preserve">NA </t>
        </is>
      </c>
      <c r="S236" t="n">
        <v>15</v>
      </c>
      <c r="T236" t="n">
        <v>15</v>
      </c>
      <c r="U236" t="inlineStr">
        <is>
          <t>2009-08-25</t>
        </is>
      </c>
      <c r="V236" t="inlineStr">
        <is>
          <t>2009-08-25</t>
        </is>
      </c>
      <c r="W236" t="inlineStr">
        <is>
          <t>1993-11-30</t>
        </is>
      </c>
      <c r="X236" t="inlineStr">
        <is>
          <t>1993-11-30</t>
        </is>
      </c>
      <c r="Y236" t="n">
        <v>566</v>
      </c>
      <c r="Z236" t="n">
        <v>470</v>
      </c>
      <c r="AA236" t="n">
        <v>1528</v>
      </c>
      <c r="AB236" t="n">
        <v>4</v>
      </c>
      <c r="AC236" t="n">
        <v>9</v>
      </c>
      <c r="AD236" t="n">
        <v>14</v>
      </c>
      <c r="AE236" t="n">
        <v>43</v>
      </c>
      <c r="AF236" t="n">
        <v>4</v>
      </c>
      <c r="AG236" t="n">
        <v>17</v>
      </c>
      <c r="AH236" t="n">
        <v>3</v>
      </c>
      <c r="AI236" t="n">
        <v>7</v>
      </c>
      <c r="AJ236" t="n">
        <v>9</v>
      </c>
      <c r="AK236" t="n">
        <v>21</v>
      </c>
      <c r="AL236" t="n">
        <v>2</v>
      </c>
      <c r="AM236" t="n">
        <v>7</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HYPERLINK("https://creighton-primo.hosted.exlibrisgroup.com/primo-explore/search?tab=default_tab&amp;search_scope=EVERYTHING&amp;vid=01CRU&amp;lang=en_US&amp;offset=0&amp;query=any,contains,991001944179702656","Catalog Record")</f>
        <v/>
      </c>
      <c r="AT236">
        <f>HYPERLINK("http://www.worldcat.org/oclc/24550249","WorldCat Record")</f>
        <v/>
      </c>
      <c r="AU236" t="inlineStr">
        <is>
          <t>836915166:eng</t>
        </is>
      </c>
      <c r="AV236" t="inlineStr">
        <is>
          <t>24550249</t>
        </is>
      </c>
      <c r="AW236" t="inlineStr">
        <is>
          <t>991001944179702656</t>
        </is>
      </c>
      <c r="AX236" t="inlineStr">
        <is>
          <t>991001944179702656</t>
        </is>
      </c>
      <c r="AY236" t="inlineStr">
        <is>
          <t>2259688570002656</t>
        </is>
      </c>
      <c r="AZ236" t="inlineStr">
        <is>
          <t>BOOK</t>
        </is>
      </c>
      <c r="BB236" t="inlineStr">
        <is>
          <t>9780262231640</t>
        </is>
      </c>
      <c r="BC236" t="inlineStr">
        <is>
          <t>32285001813814</t>
        </is>
      </c>
      <c r="BD236" t="inlineStr">
        <is>
          <t>893244573</t>
        </is>
      </c>
    </row>
    <row r="237">
      <c r="A237" t="inlineStr">
        <is>
          <t>No</t>
        </is>
      </c>
      <c r="B237" t="inlineStr">
        <is>
          <t>NA707 .K39 1993</t>
        </is>
      </c>
      <c r="C237" t="inlineStr">
        <is>
          <t>0                      NA 0707000K  39          1993</t>
        </is>
      </c>
      <c r="D237" t="inlineStr">
        <is>
          <t>Mission : the history and architecture of the missions of North America / Roger G. Kennedy ; edited and designed by David Larkin ; photography by Michael Freeman.</t>
        </is>
      </c>
      <c r="F237" t="inlineStr">
        <is>
          <t>No</t>
        </is>
      </c>
      <c r="G237" t="inlineStr">
        <is>
          <t>1</t>
        </is>
      </c>
      <c r="H237" t="inlineStr">
        <is>
          <t>No</t>
        </is>
      </c>
      <c r="I237" t="inlineStr">
        <is>
          <t>No</t>
        </is>
      </c>
      <c r="J237" t="inlineStr">
        <is>
          <t>0</t>
        </is>
      </c>
      <c r="K237" t="inlineStr">
        <is>
          <t>Kennedy, Roger G.</t>
        </is>
      </c>
      <c r="L237" t="inlineStr">
        <is>
          <t>Boston : Houghton Mifflin, 1993.</t>
        </is>
      </c>
      <c r="M237" t="inlineStr">
        <is>
          <t>1993</t>
        </is>
      </c>
      <c r="O237" t="inlineStr">
        <is>
          <t>eng</t>
        </is>
      </c>
      <c r="P237" t="inlineStr">
        <is>
          <t>mau</t>
        </is>
      </c>
      <c r="R237" t="inlineStr">
        <is>
          <t xml:space="preserve">NA </t>
        </is>
      </c>
      <c r="S237" t="n">
        <v>3</v>
      </c>
      <c r="T237" t="n">
        <v>3</v>
      </c>
      <c r="U237" t="inlineStr">
        <is>
          <t>2005-04-26</t>
        </is>
      </c>
      <c r="V237" t="inlineStr">
        <is>
          <t>2005-04-26</t>
        </is>
      </c>
      <c r="W237" t="inlineStr">
        <is>
          <t>1995-11-06</t>
        </is>
      </c>
      <c r="X237" t="inlineStr">
        <is>
          <t>1995-11-06</t>
        </is>
      </c>
      <c r="Y237" t="n">
        <v>533</v>
      </c>
      <c r="Z237" t="n">
        <v>510</v>
      </c>
      <c r="AA237" t="n">
        <v>515</v>
      </c>
      <c r="AB237" t="n">
        <v>4</v>
      </c>
      <c r="AC237" t="n">
        <v>4</v>
      </c>
      <c r="AD237" t="n">
        <v>14</v>
      </c>
      <c r="AE237" t="n">
        <v>14</v>
      </c>
      <c r="AF237" t="n">
        <v>5</v>
      </c>
      <c r="AG237" t="n">
        <v>5</v>
      </c>
      <c r="AH237" t="n">
        <v>3</v>
      </c>
      <c r="AI237" t="n">
        <v>3</v>
      </c>
      <c r="AJ237" t="n">
        <v>7</v>
      </c>
      <c r="AK237" t="n">
        <v>7</v>
      </c>
      <c r="AL237" t="n">
        <v>2</v>
      </c>
      <c r="AM237" t="n">
        <v>2</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HYPERLINK("https://creighton-primo.hosted.exlibrisgroup.com/primo-explore/search?tab=default_tab&amp;search_scope=EVERYTHING&amp;vid=01CRU&amp;lang=en_US&amp;offset=0&amp;query=any,contains,991002173709702656","Catalog Record")</f>
        <v/>
      </c>
      <c r="AT237">
        <f>HYPERLINK("http://www.worldcat.org/oclc/27975652","WorldCat Record")</f>
        <v/>
      </c>
      <c r="AU237" t="inlineStr">
        <is>
          <t>336102:eng</t>
        </is>
      </c>
      <c r="AV237" t="inlineStr">
        <is>
          <t>27975652</t>
        </is>
      </c>
      <c r="AW237" t="inlineStr">
        <is>
          <t>991002173709702656</t>
        </is>
      </c>
      <c r="AX237" t="inlineStr">
        <is>
          <t>991002173709702656</t>
        </is>
      </c>
      <c r="AY237" t="inlineStr">
        <is>
          <t>2262294240002656</t>
        </is>
      </c>
      <c r="AZ237" t="inlineStr">
        <is>
          <t>BOOK</t>
        </is>
      </c>
      <c r="BB237" t="inlineStr">
        <is>
          <t>9780395634165</t>
        </is>
      </c>
      <c r="BC237" t="inlineStr">
        <is>
          <t>32285002101060</t>
        </is>
      </c>
      <c r="BD237" t="inlineStr">
        <is>
          <t>893244852</t>
        </is>
      </c>
    </row>
    <row r="238">
      <c r="A238" t="inlineStr">
        <is>
          <t>No</t>
        </is>
      </c>
      <c r="B238" t="inlineStr">
        <is>
          <t>NA707 .M63 1976</t>
        </is>
      </c>
      <c r="C238" t="inlineStr">
        <is>
          <t>0                      NA 0707000M  63          1976</t>
        </is>
      </c>
      <c r="D238" t="inlineStr">
        <is>
          <t>Early American architecture : from the first colonial settlements to the National Period.</t>
        </is>
      </c>
      <c r="F238" t="inlineStr">
        <is>
          <t>No</t>
        </is>
      </c>
      <c r="G238" t="inlineStr">
        <is>
          <t>1</t>
        </is>
      </c>
      <c r="H238" t="inlineStr">
        <is>
          <t>No</t>
        </is>
      </c>
      <c r="I238" t="inlineStr">
        <is>
          <t>No</t>
        </is>
      </c>
      <c r="J238" t="inlineStr">
        <is>
          <t>0</t>
        </is>
      </c>
      <c r="K238" t="inlineStr">
        <is>
          <t>Morrison, Hugh.</t>
        </is>
      </c>
      <c r="L238" t="inlineStr">
        <is>
          <t>New York : Oxford University Press, 1976, c1952.</t>
        </is>
      </c>
      <c r="M238" t="inlineStr">
        <is>
          <t>1976</t>
        </is>
      </c>
      <c r="O238" t="inlineStr">
        <is>
          <t>eng</t>
        </is>
      </c>
      <c r="P238" t="inlineStr">
        <is>
          <t xml:space="preserve">xx </t>
        </is>
      </c>
      <c r="R238" t="inlineStr">
        <is>
          <t xml:space="preserve">NA </t>
        </is>
      </c>
      <c r="S238" t="n">
        <v>10</v>
      </c>
      <c r="T238" t="n">
        <v>10</v>
      </c>
      <c r="U238" t="inlineStr">
        <is>
          <t>2003-04-25</t>
        </is>
      </c>
      <c r="V238" t="inlineStr">
        <is>
          <t>2003-04-25</t>
        </is>
      </c>
      <c r="W238" t="inlineStr">
        <is>
          <t>1992-02-26</t>
        </is>
      </c>
      <c r="X238" t="inlineStr">
        <is>
          <t>1992-02-26</t>
        </is>
      </c>
      <c r="Y238" t="n">
        <v>958</v>
      </c>
      <c r="Z238" t="n">
        <v>856</v>
      </c>
      <c r="AA238" t="n">
        <v>1068</v>
      </c>
      <c r="AB238" t="n">
        <v>8</v>
      </c>
      <c r="AC238" t="n">
        <v>9</v>
      </c>
      <c r="AD238" t="n">
        <v>29</v>
      </c>
      <c r="AE238" t="n">
        <v>32</v>
      </c>
      <c r="AF238" t="n">
        <v>11</v>
      </c>
      <c r="AG238" t="n">
        <v>13</v>
      </c>
      <c r="AH238" t="n">
        <v>5</v>
      </c>
      <c r="AI238" t="n">
        <v>6</v>
      </c>
      <c r="AJ238" t="n">
        <v>13</v>
      </c>
      <c r="AK238" t="n">
        <v>15</v>
      </c>
      <c r="AL238" t="n">
        <v>6</v>
      </c>
      <c r="AM238" t="n">
        <v>6</v>
      </c>
      <c r="AN238" t="n">
        <v>0</v>
      </c>
      <c r="AO238" t="n">
        <v>0</v>
      </c>
      <c r="AP238" t="inlineStr">
        <is>
          <t>No</t>
        </is>
      </c>
      <c r="AQ238" t="inlineStr">
        <is>
          <t>Yes</t>
        </is>
      </c>
      <c r="AR238">
        <f>HYPERLINK("http://catalog.hathitrust.org/Record/000411399","HathiTrust Record")</f>
        <v/>
      </c>
      <c r="AS238">
        <f>HYPERLINK("https://creighton-primo.hosted.exlibrisgroup.com/primo-explore/search?tab=default_tab&amp;search_scope=EVERYTHING&amp;vid=01CRU&amp;lang=en_US&amp;offset=0&amp;query=any,contains,991002233259702656","Catalog Record")</f>
        <v/>
      </c>
      <c r="AT238">
        <f>HYPERLINK("http://www.worldcat.org/oclc/294863","WorldCat Record")</f>
        <v/>
      </c>
      <c r="AU238" t="inlineStr">
        <is>
          <t>367051499:eng</t>
        </is>
      </c>
      <c r="AV238" t="inlineStr">
        <is>
          <t>294863</t>
        </is>
      </c>
      <c r="AW238" t="inlineStr">
        <is>
          <t>991002233259702656</t>
        </is>
      </c>
      <c r="AX238" t="inlineStr">
        <is>
          <t>991002233259702656</t>
        </is>
      </c>
      <c r="AY238" t="inlineStr">
        <is>
          <t>2268433600002656</t>
        </is>
      </c>
      <c r="AZ238" t="inlineStr">
        <is>
          <t>BOOK</t>
        </is>
      </c>
      <c r="BC238" t="inlineStr">
        <is>
          <t>32285000976489</t>
        </is>
      </c>
      <c r="BD238" t="inlineStr">
        <is>
          <t>893517042</t>
        </is>
      </c>
    </row>
    <row r="239">
      <c r="A239" t="inlineStr">
        <is>
          <t>No</t>
        </is>
      </c>
      <c r="B239" t="inlineStr">
        <is>
          <t>NA710 .A5 1975</t>
        </is>
      </c>
      <c r="C239" t="inlineStr">
        <is>
          <t>0                      NA 0710000A  5           1975</t>
        </is>
      </c>
      <c r="D239" t="inlineStr">
        <is>
          <t>American Victorian architecture : a survey of the 70's and 80's in contemporary photographs / with a new introduction by Arnold Lewis, and notes on the plates by Keith Morgan.</t>
        </is>
      </c>
      <c r="F239" t="inlineStr">
        <is>
          <t>No</t>
        </is>
      </c>
      <c r="G239" t="inlineStr">
        <is>
          <t>1</t>
        </is>
      </c>
      <c r="H239" t="inlineStr">
        <is>
          <t>No</t>
        </is>
      </c>
      <c r="I239" t="inlineStr">
        <is>
          <t>No</t>
        </is>
      </c>
      <c r="J239" t="inlineStr">
        <is>
          <t>0</t>
        </is>
      </c>
      <c r="L239" t="inlineStr">
        <is>
          <t>New York : Dover Publications, c1975.</t>
        </is>
      </c>
      <c r="M239" t="inlineStr">
        <is>
          <t>1975</t>
        </is>
      </c>
      <c r="O239" t="inlineStr">
        <is>
          <t>eng</t>
        </is>
      </c>
      <c r="P239" t="inlineStr">
        <is>
          <t>nyu</t>
        </is>
      </c>
      <c r="R239" t="inlineStr">
        <is>
          <t xml:space="preserve">NA </t>
        </is>
      </c>
      <c r="S239" t="n">
        <v>8</v>
      </c>
      <c r="T239" t="n">
        <v>8</v>
      </c>
      <c r="U239" t="inlineStr">
        <is>
          <t>1996-11-25</t>
        </is>
      </c>
      <c r="V239" t="inlineStr">
        <is>
          <t>1996-11-25</t>
        </is>
      </c>
      <c r="W239" t="inlineStr">
        <is>
          <t>1993-09-21</t>
        </is>
      </c>
      <c r="X239" t="inlineStr">
        <is>
          <t>1993-09-21</t>
        </is>
      </c>
      <c r="Y239" t="n">
        <v>765</v>
      </c>
      <c r="Z239" t="n">
        <v>689</v>
      </c>
      <c r="AA239" t="n">
        <v>697</v>
      </c>
      <c r="AB239" t="n">
        <v>3</v>
      </c>
      <c r="AC239" t="n">
        <v>3</v>
      </c>
      <c r="AD239" t="n">
        <v>15</v>
      </c>
      <c r="AE239" t="n">
        <v>15</v>
      </c>
      <c r="AF239" t="n">
        <v>7</v>
      </c>
      <c r="AG239" t="n">
        <v>7</v>
      </c>
      <c r="AH239" t="n">
        <v>3</v>
      </c>
      <c r="AI239" t="n">
        <v>3</v>
      </c>
      <c r="AJ239" t="n">
        <v>7</v>
      </c>
      <c r="AK239" t="n">
        <v>7</v>
      </c>
      <c r="AL239" t="n">
        <v>1</v>
      </c>
      <c r="AM239" t="n">
        <v>1</v>
      </c>
      <c r="AN239" t="n">
        <v>0</v>
      </c>
      <c r="AO239" t="n">
        <v>0</v>
      </c>
      <c r="AP239" t="inlineStr">
        <is>
          <t>No</t>
        </is>
      </c>
      <c r="AQ239" t="inlineStr">
        <is>
          <t>Yes</t>
        </is>
      </c>
      <c r="AR239">
        <f>HYPERLINK("http://catalog.hathitrust.org/Record/000707699","HathiTrust Record")</f>
        <v/>
      </c>
      <c r="AS239">
        <f>HYPERLINK("https://creighton-primo.hosted.exlibrisgroup.com/primo-explore/search?tab=default_tab&amp;search_scope=EVERYTHING&amp;vid=01CRU&amp;lang=en_US&amp;offset=0&amp;query=any,contains,991003950599702656","Catalog Record")</f>
        <v/>
      </c>
      <c r="AT239">
        <f>HYPERLINK("http://www.worldcat.org/oclc/1957961","WorldCat Record")</f>
        <v/>
      </c>
      <c r="AU239" t="inlineStr">
        <is>
          <t>836642151:eng</t>
        </is>
      </c>
      <c r="AV239" t="inlineStr">
        <is>
          <t>1957961</t>
        </is>
      </c>
      <c r="AW239" t="inlineStr">
        <is>
          <t>991003950599702656</t>
        </is>
      </c>
      <c r="AX239" t="inlineStr">
        <is>
          <t>991003950599702656</t>
        </is>
      </c>
      <c r="AY239" t="inlineStr">
        <is>
          <t>2264652840002656</t>
        </is>
      </c>
      <c r="AZ239" t="inlineStr">
        <is>
          <t>BOOK</t>
        </is>
      </c>
      <c r="BB239" t="inlineStr">
        <is>
          <t>9780486231778</t>
        </is>
      </c>
      <c r="BC239" t="inlineStr">
        <is>
          <t>32285001759207</t>
        </is>
      </c>
      <c r="BD239" t="inlineStr">
        <is>
          <t>893337176</t>
        </is>
      </c>
    </row>
    <row r="240">
      <c r="A240" t="inlineStr">
        <is>
          <t>No</t>
        </is>
      </c>
      <c r="B240" t="inlineStr">
        <is>
          <t>NA710 .E2</t>
        </is>
      </c>
      <c r="C240" t="inlineStr">
        <is>
          <t>0                      NA 0710000E  2</t>
        </is>
      </c>
      <c r="D240" t="inlineStr">
        <is>
          <t>Romanticism and American architecture.</t>
        </is>
      </c>
      <c r="F240" t="inlineStr">
        <is>
          <t>No</t>
        </is>
      </c>
      <c r="G240" t="inlineStr">
        <is>
          <t>1</t>
        </is>
      </c>
      <c r="H240" t="inlineStr">
        <is>
          <t>No</t>
        </is>
      </c>
      <c r="I240" t="inlineStr">
        <is>
          <t>No</t>
        </is>
      </c>
      <c r="J240" t="inlineStr">
        <is>
          <t>0</t>
        </is>
      </c>
      <c r="K240" t="inlineStr">
        <is>
          <t>Early, James, 1923-2005.</t>
        </is>
      </c>
      <c r="L240" t="inlineStr">
        <is>
          <t>New York, A.S. Barnes [1965]</t>
        </is>
      </c>
      <c r="M240" t="inlineStr">
        <is>
          <t>1965</t>
        </is>
      </c>
      <c r="O240" t="inlineStr">
        <is>
          <t>eng</t>
        </is>
      </c>
      <c r="P240" t="inlineStr">
        <is>
          <t>nyu</t>
        </is>
      </c>
      <c r="R240" t="inlineStr">
        <is>
          <t xml:space="preserve">NA </t>
        </is>
      </c>
      <c r="S240" t="n">
        <v>2</v>
      </c>
      <c r="T240" t="n">
        <v>2</v>
      </c>
      <c r="U240" t="inlineStr">
        <is>
          <t>1999-02-22</t>
        </is>
      </c>
      <c r="V240" t="inlineStr">
        <is>
          <t>1999-02-22</t>
        </is>
      </c>
      <c r="W240" t="inlineStr">
        <is>
          <t>1997-07-01</t>
        </is>
      </c>
      <c r="X240" t="inlineStr">
        <is>
          <t>1997-07-01</t>
        </is>
      </c>
      <c r="Y240" t="n">
        <v>601</v>
      </c>
      <c r="Z240" t="n">
        <v>540</v>
      </c>
      <c r="AA240" t="n">
        <v>547</v>
      </c>
      <c r="AB240" t="n">
        <v>5</v>
      </c>
      <c r="AC240" t="n">
        <v>5</v>
      </c>
      <c r="AD240" t="n">
        <v>21</v>
      </c>
      <c r="AE240" t="n">
        <v>21</v>
      </c>
      <c r="AF240" t="n">
        <v>8</v>
      </c>
      <c r="AG240" t="n">
        <v>8</v>
      </c>
      <c r="AH240" t="n">
        <v>5</v>
      </c>
      <c r="AI240" t="n">
        <v>5</v>
      </c>
      <c r="AJ240" t="n">
        <v>8</v>
      </c>
      <c r="AK240" t="n">
        <v>8</v>
      </c>
      <c r="AL240" t="n">
        <v>3</v>
      </c>
      <c r="AM240" t="n">
        <v>3</v>
      </c>
      <c r="AN240" t="n">
        <v>0</v>
      </c>
      <c r="AO240" t="n">
        <v>0</v>
      </c>
      <c r="AP240" t="inlineStr">
        <is>
          <t>No</t>
        </is>
      </c>
      <c r="AQ240" t="inlineStr">
        <is>
          <t>Yes</t>
        </is>
      </c>
      <c r="AR240">
        <f>HYPERLINK("http://catalog.hathitrust.org/Record/000014864","HathiTrust Record")</f>
        <v/>
      </c>
      <c r="AS240">
        <f>HYPERLINK("https://creighton-primo.hosted.exlibrisgroup.com/primo-explore/search?tab=default_tab&amp;search_scope=EVERYTHING&amp;vid=01CRU&amp;lang=en_US&amp;offset=0&amp;query=any,contains,991003389499702656","Catalog Record")</f>
        <v/>
      </c>
      <c r="AT240">
        <f>HYPERLINK("http://www.worldcat.org/oclc/926966","WorldCat Record")</f>
        <v/>
      </c>
      <c r="AU240" t="inlineStr">
        <is>
          <t>118491057:eng</t>
        </is>
      </c>
      <c r="AV240" t="inlineStr">
        <is>
          <t>926966</t>
        </is>
      </c>
      <c r="AW240" t="inlineStr">
        <is>
          <t>991003389499702656</t>
        </is>
      </c>
      <c r="AX240" t="inlineStr">
        <is>
          <t>991003389499702656</t>
        </is>
      </c>
      <c r="AY240" t="inlineStr">
        <is>
          <t>2262867110002656</t>
        </is>
      </c>
      <c r="AZ240" t="inlineStr">
        <is>
          <t>BOOK</t>
        </is>
      </c>
      <c r="BC240" t="inlineStr">
        <is>
          <t>32285002861374</t>
        </is>
      </c>
      <c r="BD240" t="inlineStr">
        <is>
          <t>893330263</t>
        </is>
      </c>
    </row>
    <row r="241">
      <c r="A241" t="inlineStr">
        <is>
          <t>No</t>
        </is>
      </c>
      <c r="B241" t="inlineStr">
        <is>
          <t>NA710 .M3 1957a</t>
        </is>
      </c>
      <c r="C241" t="inlineStr">
        <is>
          <t>0                      NA 0710000M  3           1957a</t>
        </is>
      </c>
      <c r="D241" t="inlineStr">
        <is>
          <t>The gingerbread age : a view of Victorian America / by John Maass.</t>
        </is>
      </c>
      <c r="F241" t="inlineStr">
        <is>
          <t>No</t>
        </is>
      </c>
      <c r="G241" t="inlineStr">
        <is>
          <t>1</t>
        </is>
      </c>
      <c r="H241" t="inlineStr">
        <is>
          <t>No</t>
        </is>
      </c>
      <c r="I241" t="inlineStr">
        <is>
          <t>No</t>
        </is>
      </c>
      <c r="J241" t="inlineStr">
        <is>
          <t>0</t>
        </is>
      </c>
      <c r="K241" t="inlineStr">
        <is>
          <t>Maass, John, 1918-</t>
        </is>
      </c>
      <c r="L241" t="inlineStr">
        <is>
          <t>New York : Bramhall House, [c1957]</t>
        </is>
      </c>
      <c r="M241" t="inlineStr">
        <is>
          <t>1957</t>
        </is>
      </c>
      <c r="O241" t="inlineStr">
        <is>
          <t>eng</t>
        </is>
      </c>
      <c r="P241" t="inlineStr">
        <is>
          <t xml:space="preserve">xx </t>
        </is>
      </c>
      <c r="R241" t="inlineStr">
        <is>
          <t xml:space="preserve">NA </t>
        </is>
      </c>
      <c r="S241" t="n">
        <v>5</v>
      </c>
      <c r="T241" t="n">
        <v>5</v>
      </c>
      <c r="U241" t="inlineStr">
        <is>
          <t>1998-01-14</t>
        </is>
      </c>
      <c r="V241" t="inlineStr">
        <is>
          <t>1998-01-14</t>
        </is>
      </c>
      <c r="W241" t="inlineStr">
        <is>
          <t>1993-07-06</t>
        </is>
      </c>
      <c r="X241" t="inlineStr">
        <is>
          <t>1993-07-06</t>
        </is>
      </c>
      <c r="Y241" t="n">
        <v>400</v>
      </c>
      <c r="Z241" t="n">
        <v>388</v>
      </c>
      <c r="AA241" t="n">
        <v>1399</v>
      </c>
      <c r="AB241" t="n">
        <v>3</v>
      </c>
      <c r="AC241" t="n">
        <v>8</v>
      </c>
      <c r="AD241" t="n">
        <v>10</v>
      </c>
      <c r="AE241" t="n">
        <v>39</v>
      </c>
      <c r="AF241" t="n">
        <v>8</v>
      </c>
      <c r="AG241" t="n">
        <v>18</v>
      </c>
      <c r="AH241" t="n">
        <v>0</v>
      </c>
      <c r="AI241" t="n">
        <v>7</v>
      </c>
      <c r="AJ241" t="n">
        <v>2</v>
      </c>
      <c r="AK241" t="n">
        <v>17</v>
      </c>
      <c r="AL241" t="n">
        <v>2</v>
      </c>
      <c r="AM241" t="n">
        <v>5</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HYPERLINK("https://creighton-primo.hosted.exlibrisgroup.com/primo-explore/search?tab=default_tab&amp;search_scope=EVERYTHING&amp;vid=01CRU&amp;lang=en_US&amp;offset=0&amp;query=any,contains,991003230829702656","Catalog Record")</f>
        <v/>
      </c>
      <c r="AT241">
        <f>HYPERLINK("http://www.worldcat.org/oclc/755737","WorldCat Record")</f>
        <v/>
      </c>
      <c r="AU241" t="inlineStr">
        <is>
          <t>1616469:eng</t>
        </is>
      </c>
      <c r="AV241" t="inlineStr">
        <is>
          <t>755737</t>
        </is>
      </c>
      <c r="AW241" t="inlineStr">
        <is>
          <t>991003230829702656</t>
        </is>
      </c>
      <c r="AX241" t="inlineStr">
        <is>
          <t>991003230829702656</t>
        </is>
      </c>
      <c r="AY241" t="inlineStr">
        <is>
          <t>2267076450002656</t>
        </is>
      </c>
      <c r="AZ241" t="inlineStr">
        <is>
          <t>BOOK</t>
        </is>
      </c>
      <c r="BC241" t="inlineStr">
        <is>
          <t>32285001700839</t>
        </is>
      </c>
      <c r="BD241" t="inlineStr">
        <is>
          <t>893252170</t>
        </is>
      </c>
    </row>
    <row r="242">
      <c r="A242" t="inlineStr">
        <is>
          <t>No</t>
        </is>
      </c>
      <c r="B242" t="inlineStr">
        <is>
          <t>NA710 .N53 1995</t>
        </is>
      </c>
      <c r="C242" t="inlineStr">
        <is>
          <t>0                      NA 0710000N  53          1995</t>
        </is>
      </c>
      <c r="D242" t="inlineStr">
        <is>
          <t>The architecture of the Shakers / Julie Nicoletta ; photography by Bret Morgan ; foreword by Robert P. Emlen.</t>
        </is>
      </c>
      <c r="F242" t="inlineStr">
        <is>
          <t>No</t>
        </is>
      </c>
      <c r="G242" t="inlineStr">
        <is>
          <t>1</t>
        </is>
      </c>
      <c r="H242" t="inlineStr">
        <is>
          <t>No</t>
        </is>
      </c>
      <c r="I242" t="inlineStr">
        <is>
          <t>No</t>
        </is>
      </c>
      <c r="J242" t="inlineStr">
        <is>
          <t>0</t>
        </is>
      </c>
      <c r="K242" t="inlineStr">
        <is>
          <t>Nicoletta, Julie.</t>
        </is>
      </c>
      <c r="L242" t="inlineStr">
        <is>
          <t>Woodstock, Vt. : Countryman Press, 1995.</t>
        </is>
      </c>
      <c r="M242" t="inlineStr">
        <is>
          <t>1995</t>
        </is>
      </c>
      <c r="N242" t="inlineStr">
        <is>
          <t>1st ed.</t>
        </is>
      </c>
      <c r="O242" t="inlineStr">
        <is>
          <t>eng</t>
        </is>
      </c>
      <c r="P242" t="inlineStr">
        <is>
          <t>vtu</t>
        </is>
      </c>
      <c r="R242" t="inlineStr">
        <is>
          <t xml:space="preserve">NA </t>
        </is>
      </c>
      <c r="S242" t="n">
        <v>4</v>
      </c>
      <c r="T242" t="n">
        <v>4</v>
      </c>
      <c r="U242" t="inlineStr">
        <is>
          <t>1997-03-04</t>
        </is>
      </c>
      <c r="V242" t="inlineStr">
        <is>
          <t>1997-03-04</t>
        </is>
      </c>
      <c r="W242" t="inlineStr">
        <is>
          <t>1995-11-02</t>
        </is>
      </c>
      <c r="X242" t="inlineStr">
        <is>
          <t>1995-11-02</t>
        </is>
      </c>
      <c r="Y242" t="n">
        <v>449</v>
      </c>
      <c r="Z242" t="n">
        <v>404</v>
      </c>
      <c r="AA242" t="n">
        <v>404</v>
      </c>
      <c r="AB242" t="n">
        <v>2</v>
      </c>
      <c r="AC242" t="n">
        <v>2</v>
      </c>
      <c r="AD242" t="n">
        <v>4</v>
      </c>
      <c r="AE242" t="n">
        <v>4</v>
      </c>
      <c r="AF242" t="n">
        <v>1</v>
      </c>
      <c r="AG242" t="n">
        <v>1</v>
      </c>
      <c r="AH242" t="n">
        <v>0</v>
      </c>
      <c r="AI242" t="n">
        <v>0</v>
      </c>
      <c r="AJ242" t="n">
        <v>2</v>
      </c>
      <c r="AK242" t="n">
        <v>2</v>
      </c>
      <c r="AL242" t="n">
        <v>1</v>
      </c>
      <c r="AM242" t="n">
        <v>1</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HYPERLINK("https://creighton-primo.hosted.exlibrisgroup.com/primo-explore/search?tab=default_tab&amp;search_scope=EVERYTHING&amp;vid=01CRU&amp;lang=en_US&amp;offset=0&amp;query=any,contains,991002385639702656","Catalog Record")</f>
        <v/>
      </c>
      <c r="AT242">
        <f>HYPERLINK("http://www.worldcat.org/oclc/31009824","WorldCat Record")</f>
        <v/>
      </c>
      <c r="AU242" t="inlineStr">
        <is>
          <t>5612155190:eng</t>
        </is>
      </c>
      <c r="AV242" t="inlineStr">
        <is>
          <t>31009824</t>
        </is>
      </c>
      <c r="AW242" t="inlineStr">
        <is>
          <t>991002385639702656</t>
        </is>
      </c>
      <c r="AX242" t="inlineStr">
        <is>
          <t>991002385639702656</t>
        </is>
      </c>
      <c r="AY242" t="inlineStr">
        <is>
          <t>2259264330002656</t>
        </is>
      </c>
      <c r="AZ242" t="inlineStr">
        <is>
          <t>BOOK</t>
        </is>
      </c>
      <c r="BB242" t="inlineStr">
        <is>
          <t>9780881503104</t>
        </is>
      </c>
      <c r="BC242" t="inlineStr">
        <is>
          <t>32285002099629</t>
        </is>
      </c>
      <c r="BD242" t="inlineStr">
        <is>
          <t>893622228</t>
        </is>
      </c>
    </row>
    <row r="243">
      <c r="A243" t="inlineStr">
        <is>
          <t>No</t>
        </is>
      </c>
      <c r="B243" t="inlineStr">
        <is>
          <t>NA710.5.E25 P42</t>
        </is>
      </c>
      <c r="C243" t="inlineStr">
        <is>
          <t>0                      NA 0710500E  25                 P  42</t>
        </is>
      </c>
      <c r="D243" t="inlineStr">
        <is>
          <t>America's gilded age : its architecture and decoration / Frederick Platt.</t>
        </is>
      </c>
      <c r="F243" t="inlineStr">
        <is>
          <t>No</t>
        </is>
      </c>
      <c r="G243" t="inlineStr">
        <is>
          <t>1</t>
        </is>
      </c>
      <c r="H243" t="inlineStr">
        <is>
          <t>No</t>
        </is>
      </c>
      <c r="I243" t="inlineStr">
        <is>
          <t>No</t>
        </is>
      </c>
      <c r="J243" t="inlineStr">
        <is>
          <t>0</t>
        </is>
      </c>
      <c r="K243" t="inlineStr">
        <is>
          <t>Platt, Frederick, 1946-</t>
        </is>
      </c>
      <c r="L243" t="inlineStr">
        <is>
          <t>South Brunswick : A. S. Barnes, c1976.</t>
        </is>
      </c>
      <c r="M243" t="inlineStr">
        <is>
          <t>1976</t>
        </is>
      </c>
      <c r="O243" t="inlineStr">
        <is>
          <t>eng</t>
        </is>
      </c>
      <c r="P243" t="inlineStr">
        <is>
          <t>nju</t>
        </is>
      </c>
      <c r="R243" t="inlineStr">
        <is>
          <t xml:space="preserve">NA </t>
        </is>
      </c>
      <c r="S243" t="n">
        <v>7</v>
      </c>
      <c r="T243" t="n">
        <v>7</v>
      </c>
      <c r="U243" t="inlineStr">
        <is>
          <t>2004-04-21</t>
        </is>
      </c>
      <c r="V243" t="inlineStr">
        <is>
          <t>2004-04-21</t>
        </is>
      </c>
      <c r="W243" t="inlineStr">
        <is>
          <t>1991-10-07</t>
        </is>
      </c>
      <c r="X243" t="inlineStr">
        <is>
          <t>1991-10-07</t>
        </is>
      </c>
      <c r="Y243" t="n">
        <v>501</v>
      </c>
      <c r="Z243" t="n">
        <v>470</v>
      </c>
      <c r="AA243" t="n">
        <v>479</v>
      </c>
      <c r="AB243" t="n">
        <v>4</v>
      </c>
      <c r="AC243" t="n">
        <v>4</v>
      </c>
      <c r="AD243" t="n">
        <v>6</v>
      </c>
      <c r="AE243" t="n">
        <v>6</v>
      </c>
      <c r="AF243" t="n">
        <v>1</v>
      </c>
      <c r="AG243" t="n">
        <v>1</v>
      </c>
      <c r="AH243" t="n">
        <v>1</v>
      </c>
      <c r="AI243" t="n">
        <v>1</v>
      </c>
      <c r="AJ243" t="n">
        <v>3</v>
      </c>
      <c r="AK243" t="n">
        <v>3</v>
      </c>
      <c r="AL243" t="n">
        <v>1</v>
      </c>
      <c r="AM243" t="n">
        <v>1</v>
      </c>
      <c r="AN243" t="n">
        <v>0</v>
      </c>
      <c r="AO243" t="n">
        <v>0</v>
      </c>
      <c r="AP243" t="inlineStr">
        <is>
          <t>No</t>
        </is>
      </c>
      <c r="AQ243" t="inlineStr">
        <is>
          <t>Yes</t>
        </is>
      </c>
      <c r="AR243">
        <f>HYPERLINK("http://catalog.hathitrust.org/Record/000041580","HathiTrust Record")</f>
        <v/>
      </c>
      <c r="AS243">
        <f>HYPERLINK("https://creighton-primo.hosted.exlibrisgroup.com/primo-explore/search?tab=default_tab&amp;search_scope=EVERYTHING&amp;vid=01CRU&amp;lang=en_US&amp;offset=0&amp;query=any,contains,991003596469702656","Catalog Record")</f>
        <v/>
      </c>
      <c r="AT243">
        <f>HYPERLINK("http://www.worldcat.org/oclc/1175735","WorldCat Record")</f>
        <v/>
      </c>
      <c r="AU243" t="inlineStr">
        <is>
          <t>118222897:eng</t>
        </is>
      </c>
      <c r="AV243" t="inlineStr">
        <is>
          <t>1175735</t>
        </is>
      </c>
      <c r="AW243" t="inlineStr">
        <is>
          <t>991003596469702656</t>
        </is>
      </c>
      <c r="AX243" t="inlineStr">
        <is>
          <t>991003596469702656</t>
        </is>
      </c>
      <c r="AY243" t="inlineStr">
        <is>
          <t>2271915580002656</t>
        </is>
      </c>
      <c r="AZ243" t="inlineStr">
        <is>
          <t>BOOK</t>
        </is>
      </c>
      <c r="BB243" t="inlineStr">
        <is>
          <t>9780498013225</t>
        </is>
      </c>
      <c r="BC243" t="inlineStr">
        <is>
          <t>32285000763861</t>
        </is>
      </c>
      <c r="BD243" t="inlineStr">
        <is>
          <t>893868603</t>
        </is>
      </c>
    </row>
    <row r="244">
      <c r="A244" t="inlineStr">
        <is>
          <t>No</t>
        </is>
      </c>
      <c r="B244" t="inlineStr">
        <is>
          <t>NA7110 .R68 1982</t>
        </is>
      </c>
      <c r="C244" t="inlineStr">
        <is>
          <t>0                      NA 7110000R  68          1982</t>
        </is>
      </c>
      <c r="D244" t="inlineStr">
        <is>
          <t>The mathematics of the ideal villa and other essays / Colin Rowe.</t>
        </is>
      </c>
      <c r="F244" t="inlineStr">
        <is>
          <t>No</t>
        </is>
      </c>
      <c r="G244" t="inlineStr">
        <is>
          <t>1</t>
        </is>
      </c>
      <c r="H244" t="inlineStr">
        <is>
          <t>No</t>
        </is>
      </c>
      <c r="I244" t="inlineStr">
        <is>
          <t>No</t>
        </is>
      </c>
      <c r="J244" t="inlineStr">
        <is>
          <t>0</t>
        </is>
      </c>
      <c r="K244" t="inlineStr">
        <is>
          <t>Rowe, Colin.</t>
        </is>
      </c>
      <c r="L244" t="inlineStr">
        <is>
          <t>Cambridge, Mass. : MIT Press, 1982, c1976, 1984 printing.</t>
        </is>
      </c>
      <c r="M244" t="inlineStr">
        <is>
          <t>1982</t>
        </is>
      </c>
      <c r="N244" t="inlineStr">
        <is>
          <t>1st MIT Press paperback ed.</t>
        </is>
      </c>
      <c r="O244" t="inlineStr">
        <is>
          <t>eng</t>
        </is>
      </c>
      <c r="P244" t="inlineStr">
        <is>
          <t>mau</t>
        </is>
      </c>
      <c r="R244" t="inlineStr">
        <is>
          <t xml:space="preserve">NA </t>
        </is>
      </c>
      <c r="S244" t="n">
        <v>0</v>
      </c>
      <c r="T244" t="n">
        <v>0</v>
      </c>
      <c r="U244" t="inlineStr">
        <is>
          <t>2006-03-29</t>
        </is>
      </c>
      <c r="V244" t="inlineStr">
        <is>
          <t>2006-03-29</t>
        </is>
      </c>
      <c r="W244" t="inlineStr">
        <is>
          <t>1993-04-07</t>
        </is>
      </c>
      <c r="X244" t="inlineStr">
        <is>
          <t>1993-04-07</t>
        </is>
      </c>
      <c r="Y244" t="n">
        <v>123</v>
      </c>
      <c r="Z244" t="n">
        <v>96</v>
      </c>
      <c r="AA244" t="n">
        <v>453</v>
      </c>
      <c r="AB244" t="n">
        <v>1</v>
      </c>
      <c r="AC244" t="n">
        <v>3</v>
      </c>
      <c r="AD244" t="n">
        <v>5</v>
      </c>
      <c r="AE244" t="n">
        <v>20</v>
      </c>
      <c r="AF244" t="n">
        <v>1</v>
      </c>
      <c r="AG244" t="n">
        <v>4</v>
      </c>
      <c r="AH244" t="n">
        <v>1</v>
      </c>
      <c r="AI244" t="n">
        <v>6</v>
      </c>
      <c r="AJ244" t="n">
        <v>5</v>
      </c>
      <c r="AK244" t="n">
        <v>12</v>
      </c>
      <c r="AL244" t="n">
        <v>0</v>
      </c>
      <c r="AM244" t="n">
        <v>2</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HYPERLINK("https://creighton-primo.hosted.exlibrisgroup.com/primo-explore/search?tab=default_tab&amp;search_scope=EVERYTHING&amp;vid=01CRU&amp;lang=en_US&amp;offset=0&amp;query=any,contains,991000279339702656","Catalog Record")</f>
        <v/>
      </c>
      <c r="AT244">
        <f>HYPERLINK("http://www.worldcat.org/oclc/9911021","WorldCat Record")</f>
        <v/>
      </c>
      <c r="AU244" t="inlineStr">
        <is>
          <t>430289:eng</t>
        </is>
      </c>
      <c r="AV244" t="inlineStr">
        <is>
          <t>9911021</t>
        </is>
      </c>
      <c r="AW244" t="inlineStr">
        <is>
          <t>991000279339702656</t>
        </is>
      </c>
      <c r="AX244" t="inlineStr">
        <is>
          <t>991000279339702656</t>
        </is>
      </c>
      <c r="AY244" t="inlineStr">
        <is>
          <t>2263237620002656</t>
        </is>
      </c>
      <c r="AZ244" t="inlineStr">
        <is>
          <t>BOOK</t>
        </is>
      </c>
      <c r="BB244" t="inlineStr">
        <is>
          <t>9780262680370</t>
        </is>
      </c>
      <c r="BC244" t="inlineStr">
        <is>
          <t>32285001604007</t>
        </is>
      </c>
      <c r="BD244" t="inlineStr">
        <is>
          <t>893438140</t>
        </is>
      </c>
    </row>
    <row r="245">
      <c r="A245" t="inlineStr">
        <is>
          <t>No</t>
        </is>
      </c>
      <c r="B245" t="inlineStr">
        <is>
          <t>NA7115 .C87 1979</t>
        </is>
      </c>
      <c r="C245" t="inlineStr">
        <is>
          <t>0                      NA 7115000C  87          1979</t>
        </is>
      </c>
      <c r="D245" t="inlineStr">
        <is>
          <t>Drawing home plans : a simplified drafting system for planning and design / June Curran ; designs and ill. by the author.</t>
        </is>
      </c>
      <c r="F245" t="inlineStr">
        <is>
          <t>No</t>
        </is>
      </c>
      <c r="G245" t="inlineStr">
        <is>
          <t>1</t>
        </is>
      </c>
      <c r="H245" t="inlineStr">
        <is>
          <t>No</t>
        </is>
      </c>
      <c r="I245" t="inlineStr">
        <is>
          <t>No</t>
        </is>
      </c>
      <c r="J245" t="inlineStr">
        <is>
          <t>0</t>
        </is>
      </c>
      <c r="K245" t="inlineStr">
        <is>
          <t>Curran, June, 1923-</t>
        </is>
      </c>
      <c r="L245" t="inlineStr">
        <is>
          <t>Bakersfield, Calif. : Brooks Pub. Co., c1979.</t>
        </is>
      </c>
      <c r="M245" t="inlineStr">
        <is>
          <t>1979</t>
        </is>
      </c>
      <c r="N245" t="inlineStr">
        <is>
          <t>[New ed.]</t>
        </is>
      </c>
      <c r="O245" t="inlineStr">
        <is>
          <t>eng</t>
        </is>
      </c>
      <c r="P245" t="inlineStr">
        <is>
          <t>cau</t>
        </is>
      </c>
      <c r="R245" t="inlineStr">
        <is>
          <t xml:space="preserve">NA </t>
        </is>
      </c>
      <c r="S245" t="n">
        <v>8</v>
      </c>
      <c r="T245" t="n">
        <v>8</v>
      </c>
      <c r="U245" t="inlineStr">
        <is>
          <t>1994-11-18</t>
        </is>
      </c>
      <c r="V245" t="inlineStr">
        <is>
          <t>1994-11-18</t>
        </is>
      </c>
      <c r="W245" t="inlineStr">
        <is>
          <t>1991-11-08</t>
        </is>
      </c>
      <c r="X245" t="inlineStr">
        <is>
          <t>1991-11-08</t>
        </is>
      </c>
      <c r="Y245" t="n">
        <v>403</v>
      </c>
      <c r="Z245" t="n">
        <v>376</v>
      </c>
      <c r="AA245" t="n">
        <v>379</v>
      </c>
      <c r="AB245" t="n">
        <v>4</v>
      </c>
      <c r="AC245" t="n">
        <v>4</v>
      </c>
      <c r="AD245" t="n">
        <v>5</v>
      </c>
      <c r="AE245" t="n">
        <v>5</v>
      </c>
      <c r="AF245" t="n">
        <v>2</v>
      </c>
      <c r="AG245" t="n">
        <v>2</v>
      </c>
      <c r="AH245" t="n">
        <v>0</v>
      </c>
      <c r="AI245" t="n">
        <v>0</v>
      </c>
      <c r="AJ245" t="n">
        <v>1</v>
      </c>
      <c r="AK245" t="n">
        <v>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HYPERLINK("https://creighton-primo.hosted.exlibrisgroup.com/primo-explore/search?tab=default_tab&amp;search_scope=EVERYTHING&amp;vid=01CRU&amp;lang=en_US&amp;offset=0&amp;query=any,contains,991004753979702656","Catalog Record")</f>
        <v/>
      </c>
      <c r="AT245">
        <f>HYPERLINK("http://www.worldcat.org/oclc/4956527","WorldCat Record")</f>
        <v/>
      </c>
      <c r="AU245" t="inlineStr">
        <is>
          <t>563531:eng</t>
        </is>
      </c>
      <c r="AV245" t="inlineStr">
        <is>
          <t>4956527</t>
        </is>
      </c>
      <c r="AW245" t="inlineStr">
        <is>
          <t>991004753979702656</t>
        </is>
      </c>
      <c r="AX245" t="inlineStr">
        <is>
          <t>991004753979702656</t>
        </is>
      </c>
      <c r="AY245" t="inlineStr">
        <is>
          <t>2269030560002656</t>
        </is>
      </c>
      <c r="AZ245" t="inlineStr">
        <is>
          <t>BOOK</t>
        </is>
      </c>
      <c r="BB245" t="inlineStr">
        <is>
          <t>9780932370013</t>
        </is>
      </c>
      <c r="BC245" t="inlineStr">
        <is>
          <t>32285000820760</t>
        </is>
      </c>
      <c r="BD245" t="inlineStr">
        <is>
          <t>893612737</t>
        </is>
      </c>
    </row>
    <row r="246">
      <c r="A246" t="inlineStr">
        <is>
          <t>No</t>
        </is>
      </c>
      <c r="B246" t="inlineStr">
        <is>
          <t>NA712 .R86 1989</t>
        </is>
      </c>
      <c r="C246" t="inlineStr">
        <is>
          <t>0                      NA 0712000R  86          1989</t>
        </is>
      </c>
      <c r="D246" t="inlineStr">
        <is>
          <t>Architecture and design, 1970-1990 : new ideas in America / Beverly Russell.</t>
        </is>
      </c>
      <c r="F246" t="inlineStr">
        <is>
          <t>No</t>
        </is>
      </c>
      <c r="G246" t="inlineStr">
        <is>
          <t>1</t>
        </is>
      </c>
      <c r="H246" t="inlineStr">
        <is>
          <t>No</t>
        </is>
      </c>
      <c r="I246" t="inlineStr">
        <is>
          <t>No</t>
        </is>
      </c>
      <c r="J246" t="inlineStr">
        <is>
          <t>0</t>
        </is>
      </c>
      <c r="K246" t="inlineStr">
        <is>
          <t>Russell, Beverly.</t>
        </is>
      </c>
      <c r="L246" t="inlineStr">
        <is>
          <t>New York : Abrams, 1989.</t>
        </is>
      </c>
      <c r="M246" t="inlineStr">
        <is>
          <t>1989</t>
        </is>
      </c>
      <c r="O246" t="inlineStr">
        <is>
          <t>eng</t>
        </is>
      </c>
      <c r="P246" t="inlineStr">
        <is>
          <t>nyu</t>
        </is>
      </c>
      <c r="R246" t="inlineStr">
        <is>
          <t xml:space="preserve">NA </t>
        </is>
      </c>
      <c r="S246" t="n">
        <v>10</v>
      </c>
      <c r="T246" t="n">
        <v>10</v>
      </c>
      <c r="U246" t="inlineStr">
        <is>
          <t>1997-04-28</t>
        </is>
      </c>
      <c r="V246" t="inlineStr">
        <is>
          <t>1997-04-28</t>
        </is>
      </c>
      <c r="W246" t="inlineStr">
        <is>
          <t>1991-01-30</t>
        </is>
      </c>
      <c r="X246" t="inlineStr">
        <is>
          <t>1991-01-30</t>
        </is>
      </c>
      <c r="Y246" t="n">
        <v>551</v>
      </c>
      <c r="Z246" t="n">
        <v>444</v>
      </c>
      <c r="AA246" t="n">
        <v>451</v>
      </c>
      <c r="AB246" t="n">
        <v>4</v>
      </c>
      <c r="AC246" t="n">
        <v>4</v>
      </c>
      <c r="AD246" t="n">
        <v>11</v>
      </c>
      <c r="AE246" t="n">
        <v>11</v>
      </c>
      <c r="AF246" t="n">
        <v>2</v>
      </c>
      <c r="AG246" t="n">
        <v>2</v>
      </c>
      <c r="AH246" t="n">
        <v>1</v>
      </c>
      <c r="AI246" t="n">
        <v>1</v>
      </c>
      <c r="AJ246" t="n">
        <v>6</v>
      </c>
      <c r="AK246" t="n">
        <v>6</v>
      </c>
      <c r="AL246" t="n">
        <v>3</v>
      </c>
      <c r="AM246" t="n">
        <v>3</v>
      </c>
      <c r="AN246" t="n">
        <v>0</v>
      </c>
      <c r="AO246" t="n">
        <v>0</v>
      </c>
      <c r="AP246" t="inlineStr">
        <is>
          <t>No</t>
        </is>
      </c>
      <c r="AQ246" t="inlineStr">
        <is>
          <t>Yes</t>
        </is>
      </c>
      <c r="AR246">
        <f>HYPERLINK("http://catalog.hathitrust.org/Record/001829568","HathiTrust Record")</f>
        <v/>
      </c>
      <c r="AS246">
        <f>HYPERLINK("https://creighton-primo.hosted.exlibrisgroup.com/primo-explore/search?tab=default_tab&amp;search_scope=EVERYTHING&amp;vid=01CRU&amp;lang=en_US&amp;offset=0&amp;query=any,contains,991001445889702656","Catalog Record")</f>
        <v/>
      </c>
      <c r="AT246">
        <f>HYPERLINK("http://www.worldcat.org/oclc/19270736","WorldCat Record")</f>
        <v/>
      </c>
      <c r="AU246" t="inlineStr">
        <is>
          <t>226114565:eng</t>
        </is>
      </c>
      <c r="AV246" t="inlineStr">
        <is>
          <t>19270736</t>
        </is>
      </c>
      <c r="AW246" t="inlineStr">
        <is>
          <t>991001445889702656</t>
        </is>
      </c>
      <c r="AX246" t="inlineStr">
        <is>
          <t>991001445889702656</t>
        </is>
      </c>
      <c r="AY246" t="inlineStr">
        <is>
          <t>2268881040002656</t>
        </is>
      </c>
      <c r="AZ246" t="inlineStr">
        <is>
          <t>BOOK</t>
        </is>
      </c>
      <c r="BB246" t="inlineStr">
        <is>
          <t>9780810918900</t>
        </is>
      </c>
      <c r="BC246" t="inlineStr">
        <is>
          <t>32285000299049</t>
        </is>
      </c>
      <c r="BD246" t="inlineStr">
        <is>
          <t>893408141</t>
        </is>
      </c>
    </row>
    <row r="247">
      <c r="A247" t="inlineStr">
        <is>
          <t>No</t>
        </is>
      </c>
      <c r="B247" t="inlineStr">
        <is>
          <t>NA712 .S7 1969</t>
        </is>
      </c>
      <c r="C247" t="inlineStr">
        <is>
          <t>0                      NA 0712000S  7           1969</t>
        </is>
      </c>
      <c r="D247" t="inlineStr">
        <is>
          <t>New directions in American architecture / [by] Robert A. M. Stern.</t>
        </is>
      </c>
      <c r="F247" t="inlineStr">
        <is>
          <t>No</t>
        </is>
      </c>
      <c r="G247" t="inlineStr">
        <is>
          <t>1</t>
        </is>
      </c>
      <c r="H247" t="inlineStr">
        <is>
          <t>No</t>
        </is>
      </c>
      <c r="I247" t="inlineStr">
        <is>
          <t>No</t>
        </is>
      </c>
      <c r="J247" t="inlineStr">
        <is>
          <t>0</t>
        </is>
      </c>
      <c r="K247" t="inlineStr">
        <is>
          <t>Stern, Robert A. M.</t>
        </is>
      </c>
      <c r="L247" t="inlineStr">
        <is>
          <t>New York : G. Braziller, c1969.</t>
        </is>
      </c>
      <c r="M247" t="inlineStr">
        <is>
          <t>1969</t>
        </is>
      </c>
      <c r="O247" t="inlineStr">
        <is>
          <t>eng</t>
        </is>
      </c>
      <c r="P247" t="inlineStr">
        <is>
          <t>nyu</t>
        </is>
      </c>
      <c r="Q247" t="inlineStr">
        <is>
          <t>New directions in architecture</t>
        </is>
      </c>
      <c r="R247" t="inlineStr">
        <is>
          <t xml:space="preserve">NA </t>
        </is>
      </c>
      <c r="S247" t="n">
        <v>1</v>
      </c>
      <c r="T247" t="n">
        <v>1</v>
      </c>
      <c r="U247" t="inlineStr">
        <is>
          <t>1999-10-27</t>
        </is>
      </c>
      <c r="V247" t="inlineStr">
        <is>
          <t>1999-10-27</t>
        </is>
      </c>
      <c r="W247" t="inlineStr">
        <is>
          <t>1999-01-20</t>
        </is>
      </c>
      <c r="X247" t="inlineStr">
        <is>
          <t>1999-01-20</t>
        </is>
      </c>
      <c r="Y247" t="n">
        <v>580</v>
      </c>
      <c r="Z247" t="n">
        <v>508</v>
      </c>
      <c r="AA247" t="n">
        <v>685</v>
      </c>
      <c r="AB247" t="n">
        <v>4</v>
      </c>
      <c r="AC247" t="n">
        <v>5</v>
      </c>
      <c r="AD247" t="n">
        <v>22</v>
      </c>
      <c r="AE247" t="n">
        <v>27</v>
      </c>
      <c r="AF247" t="n">
        <v>8</v>
      </c>
      <c r="AG247" t="n">
        <v>11</v>
      </c>
      <c r="AH247" t="n">
        <v>5</v>
      </c>
      <c r="AI247" t="n">
        <v>5</v>
      </c>
      <c r="AJ247" t="n">
        <v>12</v>
      </c>
      <c r="AK247" t="n">
        <v>14</v>
      </c>
      <c r="AL247" t="n">
        <v>2</v>
      </c>
      <c r="AM247" t="n">
        <v>3</v>
      </c>
      <c r="AN247" t="n">
        <v>0</v>
      </c>
      <c r="AO247" t="n">
        <v>0</v>
      </c>
      <c r="AP247" t="inlineStr">
        <is>
          <t>No</t>
        </is>
      </c>
      <c r="AQ247" t="inlineStr">
        <is>
          <t>Yes</t>
        </is>
      </c>
      <c r="AR247">
        <f>HYPERLINK("http://catalog.hathitrust.org/Record/000411580","HathiTrust Record")</f>
        <v/>
      </c>
      <c r="AS247">
        <f>HYPERLINK("https://creighton-primo.hosted.exlibrisgroup.com/primo-explore/search?tab=default_tab&amp;search_scope=EVERYTHING&amp;vid=01CRU&amp;lang=en_US&amp;offset=0&amp;query=any,contains,991000059579702656","Catalog Record")</f>
        <v/>
      </c>
      <c r="AT247">
        <f>HYPERLINK("http://www.worldcat.org/oclc/24311","WorldCat Record")</f>
        <v/>
      </c>
      <c r="AU247" t="inlineStr">
        <is>
          <t>464454:eng</t>
        </is>
      </c>
      <c r="AV247" t="inlineStr">
        <is>
          <t>24311</t>
        </is>
      </c>
      <c r="AW247" t="inlineStr">
        <is>
          <t>991000059579702656</t>
        </is>
      </c>
      <c r="AX247" t="inlineStr">
        <is>
          <t>991000059579702656</t>
        </is>
      </c>
      <c r="AY247" t="inlineStr">
        <is>
          <t>2266799130002656</t>
        </is>
      </c>
      <c r="AZ247" t="inlineStr">
        <is>
          <t>BOOK</t>
        </is>
      </c>
      <c r="BC247" t="inlineStr">
        <is>
          <t>32285003514139</t>
        </is>
      </c>
      <c r="BD247" t="inlineStr">
        <is>
          <t>893502186</t>
        </is>
      </c>
    </row>
    <row r="248">
      <c r="A248" t="inlineStr">
        <is>
          <t>No</t>
        </is>
      </c>
      <c r="B248" t="inlineStr">
        <is>
          <t>NA712 .W6</t>
        </is>
      </c>
      <c r="C248" t="inlineStr">
        <is>
          <t>0                      NA 0712000W  6</t>
        </is>
      </c>
      <c r="D248" t="inlineStr">
        <is>
          <t>From Bauhaus to our house / Tom Wolfe.</t>
        </is>
      </c>
      <c r="F248" t="inlineStr">
        <is>
          <t>No</t>
        </is>
      </c>
      <c r="G248" t="inlineStr">
        <is>
          <t>1</t>
        </is>
      </c>
      <c r="H248" t="inlineStr">
        <is>
          <t>No</t>
        </is>
      </c>
      <c r="I248" t="inlineStr">
        <is>
          <t>No</t>
        </is>
      </c>
      <c r="J248" t="inlineStr">
        <is>
          <t>0</t>
        </is>
      </c>
      <c r="K248" t="inlineStr">
        <is>
          <t>Wolfe, Tom.</t>
        </is>
      </c>
      <c r="L248" t="inlineStr">
        <is>
          <t>New York : Farrar Straus Giroux, 1981.</t>
        </is>
      </c>
      <c r="M248" t="inlineStr">
        <is>
          <t>1981</t>
        </is>
      </c>
      <c r="O248" t="inlineStr">
        <is>
          <t>eng</t>
        </is>
      </c>
      <c r="P248" t="inlineStr">
        <is>
          <t>nyu</t>
        </is>
      </c>
      <c r="R248" t="inlineStr">
        <is>
          <t xml:space="preserve">NA </t>
        </is>
      </c>
      <c r="S248" t="n">
        <v>7</v>
      </c>
      <c r="T248" t="n">
        <v>7</v>
      </c>
      <c r="U248" t="inlineStr">
        <is>
          <t>2001-04-23</t>
        </is>
      </c>
      <c r="V248" t="inlineStr">
        <is>
          <t>2001-04-23</t>
        </is>
      </c>
      <c r="W248" t="inlineStr">
        <is>
          <t>1992-05-01</t>
        </is>
      </c>
      <c r="X248" t="inlineStr">
        <is>
          <t>1992-05-01</t>
        </is>
      </c>
      <c r="Y248" t="n">
        <v>1871</v>
      </c>
      <c r="Z248" t="n">
        <v>1700</v>
      </c>
      <c r="AA248" t="n">
        <v>1914</v>
      </c>
      <c r="AB248" t="n">
        <v>12</v>
      </c>
      <c r="AC248" t="n">
        <v>14</v>
      </c>
      <c r="AD248" t="n">
        <v>50</v>
      </c>
      <c r="AE248" t="n">
        <v>53</v>
      </c>
      <c r="AF248" t="n">
        <v>22</v>
      </c>
      <c r="AG248" t="n">
        <v>24</v>
      </c>
      <c r="AH248" t="n">
        <v>11</v>
      </c>
      <c r="AI248" t="n">
        <v>11</v>
      </c>
      <c r="AJ248" t="n">
        <v>22</v>
      </c>
      <c r="AK248" t="n">
        <v>23</v>
      </c>
      <c r="AL248" t="n">
        <v>6</v>
      </c>
      <c r="AM248" t="n">
        <v>7</v>
      </c>
      <c r="AN248" t="n">
        <v>2</v>
      </c>
      <c r="AO248" t="n">
        <v>2</v>
      </c>
      <c r="AP248" t="inlineStr">
        <is>
          <t>No</t>
        </is>
      </c>
      <c r="AQ248" t="inlineStr">
        <is>
          <t>No</t>
        </is>
      </c>
      <c r="AS248">
        <f>HYPERLINK("https://creighton-primo.hosted.exlibrisgroup.com/primo-explore/search?tab=default_tab&amp;search_scope=EVERYTHING&amp;vid=01CRU&amp;lang=en_US&amp;offset=0&amp;query=any,contains,991005152829702656","Catalog Record")</f>
        <v/>
      </c>
      <c r="AT248">
        <f>HYPERLINK("http://www.worldcat.org/oclc/7734777","WorldCat Record")</f>
        <v/>
      </c>
      <c r="AU248" t="inlineStr">
        <is>
          <t>450320:eng</t>
        </is>
      </c>
      <c r="AV248" t="inlineStr">
        <is>
          <t>7734777</t>
        </is>
      </c>
      <c r="AW248" t="inlineStr">
        <is>
          <t>991005152829702656</t>
        </is>
      </c>
      <c r="AX248" t="inlineStr">
        <is>
          <t>991005152829702656</t>
        </is>
      </c>
      <c r="AY248" t="inlineStr">
        <is>
          <t>2255828950002656</t>
        </is>
      </c>
      <c r="AZ248" t="inlineStr">
        <is>
          <t>BOOK</t>
        </is>
      </c>
      <c r="BB248" t="inlineStr">
        <is>
          <t>9780374158927</t>
        </is>
      </c>
      <c r="BC248" t="inlineStr">
        <is>
          <t>32285001091106</t>
        </is>
      </c>
      <c r="BD248" t="inlineStr">
        <is>
          <t>893789524</t>
        </is>
      </c>
    </row>
    <row r="249">
      <c r="A249" t="inlineStr">
        <is>
          <t>No</t>
        </is>
      </c>
      <c r="B249" t="inlineStr">
        <is>
          <t>NA7120 .R93 1990</t>
        </is>
      </c>
      <c r="C249" t="inlineStr">
        <is>
          <t>0                      NA 7120000R  93          1990</t>
        </is>
      </c>
      <c r="D249" t="inlineStr">
        <is>
          <t>The most beautiful house in the world / by Witold Rybczynski.</t>
        </is>
      </c>
      <c r="F249" t="inlineStr">
        <is>
          <t>No</t>
        </is>
      </c>
      <c r="G249" t="inlineStr">
        <is>
          <t>1</t>
        </is>
      </c>
      <c r="H249" t="inlineStr">
        <is>
          <t>No</t>
        </is>
      </c>
      <c r="I249" t="inlineStr">
        <is>
          <t>No</t>
        </is>
      </c>
      <c r="J249" t="inlineStr">
        <is>
          <t>0</t>
        </is>
      </c>
      <c r="K249" t="inlineStr">
        <is>
          <t>Rybczynski, Witold.</t>
        </is>
      </c>
      <c r="L249" t="inlineStr">
        <is>
          <t>New York, N.Y., U.S.A. : Penguin Books, 1990.</t>
        </is>
      </c>
      <c r="M249" t="inlineStr">
        <is>
          <t>1990</t>
        </is>
      </c>
      <c r="O249" t="inlineStr">
        <is>
          <t>eng</t>
        </is>
      </c>
      <c r="P249" t="inlineStr">
        <is>
          <t>nyu</t>
        </is>
      </c>
      <c r="R249" t="inlineStr">
        <is>
          <t xml:space="preserve">NA </t>
        </is>
      </c>
      <c r="S249" t="n">
        <v>3</v>
      </c>
      <c r="T249" t="n">
        <v>3</v>
      </c>
      <c r="U249" t="inlineStr">
        <is>
          <t>2010-02-08</t>
        </is>
      </c>
      <c r="V249" t="inlineStr">
        <is>
          <t>2010-02-08</t>
        </is>
      </c>
      <c r="W249" t="inlineStr">
        <is>
          <t>2010-01-26</t>
        </is>
      </c>
      <c r="X249" t="inlineStr">
        <is>
          <t>2010-01-26</t>
        </is>
      </c>
      <c r="Y249" t="n">
        <v>258</v>
      </c>
      <c r="Z249" t="n">
        <v>218</v>
      </c>
      <c r="AA249" t="n">
        <v>894</v>
      </c>
      <c r="AB249" t="n">
        <v>2</v>
      </c>
      <c r="AC249" t="n">
        <v>6</v>
      </c>
      <c r="AD249" t="n">
        <v>3</v>
      </c>
      <c r="AE249" t="n">
        <v>17</v>
      </c>
      <c r="AF249" t="n">
        <v>1</v>
      </c>
      <c r="AG249" t="n">
        <v>8</v>
      </c>
      <c r="AH249" t="n">
        <v>0</v>
      </c>
      <c r="AI249" t="n">
        <v>2</v>
      </c>
      <c r="AJ249" t="n">
        <v>1</v>
      </c>
      <c r="AK249" t="n">
        <v>5</v>
      </c>
      <c r="AL249" t="n">
        <v>1</v>
      </c>
      <c r="AM249" t="n">
        <v>3</v>
      </c>
      <c r="AN249" t="n">
        <v>0</v>
      </c>
      <c r="AO249" t="n">
        <v>1</v>
      </c>
      <c r="AP249" t="inlineStr">
        <is>
          <t>No</t>
        </is>
      </c>
      <c r="AQ249" t="inlineStr">
        <is>
          <t>No</t>
        </is>
      </c>
      <c r="AS249">
        <f>HYPERLINK("https://creighton-primo.hosted.exlibrisgroup.com/primo-explore/search?tab=default_tab&amp;search_scope=EVERYTHING&amp;vid=01CRU&amp;lang=en_US&amp;offset=0&amp;query=any,contains,991005352269702656","Catalog Record")</f>
        <v/>
      </c>
      <c r="AT249">
        <f>HYPERLINK("http://www.worldcat.org/oclc/20826674","WorldCat Record")</f>
        <v/>
      </c>
      <c r="AU249" t="inlineStr">
        <is>
          <t>600162:eng</t>
        </is>
      </c>
      <c r="AV249" t="inlineStr">
        <is>
          <t>20826674</t>
        </is>
      </c>
      <c r="AW249" t="inlineStr">
        <is>
          <t>991005352269702656</t>
        </is>
      </c>
      <c r="AX249" t="inlineStr">
        <is>
          <t>991005352269702656</t>
        </is>
      </c>
      <c r="AY249" t="inlineStr">
        <is>
          <t>2261256100002656</t>
        </is>
      </c>
      <c r="AZ249" t="inlineStr">
        <is>
          <t>BOOK</t>
        </is>
      </c>
      <c r="BB249" t="inlineStr">
        <is>
          <t>9780140105667</t>
        </is>
      </c>
      <c r="BC249" t="inlineStr">
        <is>
          <t>32285005559231</t>
        </is>
      </c>
      <c r="BD249" t="inlineStr">
        <is>
          <t>893890071</t>
        </is>
      </c>
    </row>
    <row r="250">
      <c r="A250" t="inlineStr">
        <is>
          <t>No</t>
        </is>
      </c>
      <c r="B250" t="inlineStr">
        <is>
          <t>NA7120 .V3 1864</t>
        </is>
      </c>
      <c r="C250" t="inlineStr">
        <is>
          <t>0                      NA 7120000V  3           1864</t>
        </is>
      </c>
      <c r="D250" t="inlineStr">
        <is>
          <t>Villas and cottages : a series of designs prepared for execution in the United States / by Calvert Vaux ; illustrated by 370 engravings.</t>
        </is>
      </c>
      <c r="F250" t="inlineStr">
        <is>
          <t>No</t>
        </is>
      </c>
      <c r="G250" t="inlineStr">
        <is>
          <t>1</t>
        </is>
      </c>
      <c r="H250" t="inlineStr">
        <is>
          <t>No</t>
        </is>
      </c>
      <c r="I250" t="inlineStr">
        <is>
          <t>No</t>
        </is>
      </c>
      <c r="J250" t="inlineStr">
        <is>
          <t>0</t>
        </is>
      </c>
      <c r="K250" t="inlineStr">
        <is>
          <t>Vaux, Calvert, 1824-1895.</t>
        </is>
      </c>
      <c r="L250" t="inlineStr">
        <is>
          <t>New York : Harper &amp; Brothers, 1864.</t>
        </is>
      </c>
      <c r="M250" t="inlineStr">
        <is>
          <t>1864</t>
        </is>
      </c>
      <c r="O250" t="inlineStr">
        <is>
          <t>eng</t>
        </is>
      </c>
      <c r="P250" t="inlineStr">
        <is>
          <t>nyu</t>
        </is>
      </c>
      <c r="R250" t="inlineStr">
        <is>
          <t xml:space="preserve">NA </t>
        </is>
      </c>
      <c r="S250" t="n">
        <v>1</v>
      </c>
      <c r="T250" t="n">
        <v>1</v>
      </c>
      <c r="U250" t="inlineStr">
        <is>
          <t>1998-02-04</t>
        </is>
      </c>
      <c r="V250" t="inlineStr">
        <is>
          <t>1998-02-04</t>
        </is>
      </c>
      <c r="W250" t="inlineStr">
        <is>
          <t>1993-08-30</t>
        </is>
      </c>
      <c r="X250" t="inlineStr">
        <is>
          <t>1993-08-30</t>
        </is>
      </c>
      <c r="Y250" t="n">
        <v>90</v>
      </c>
      <c r="Z250" t="n">
        <v>85</v>
      </c>
      <c r="AA250" t="n">
        <v>586</v>
      </c>
      <c r="AB250" t="n">
        <v>2</v>
      </c>
      <c r="AC250" t="n">
        <v>3</v>
      </c>
      <c r="AD250" t="n">
        <v>3</v>
      </c>
      <c r="AE250" t="n">
        <v>20</v>
      </c>
      <c r="AF250" t="n">
        <v>1</v>
      </c>
      <c r="AG250" t="n">
        <v>9</v>
      </c>
      <c r="AH250" t="n">
        <v>0</v>
      </c>
      <c r="AI250" t="n">
        <v>3</v>
      </c>
      <c r="AJ250" t="n">
        <v>1</v>
      </c>
      <c r="AK250" t="n">
        <v>10</v>
      </c>
      <c r="AL250" t="n">
        <v>1</v>
      </c>
      <c r="AM250" t="n">
        <v>2</v>
      </c>
      <c r="AN250" t="n">
        <v>0</v>
      </c>
      <c r="AO250" t="n">
        <v>0</v>
      </c>
      <c r="AP250" t="inlineStr">
        <is>
          <t>Yes</t>
        </is>
      </c>
      <c r="AQ250" t="inlineStr">
        <is>
          <t>No</t>
        </is>
      </c>
      <c r="AR250">
        <f>HYPERLINK("http://catalog.hathitrust.org/Record/007559673","HathiTrust Record")</f>
        <v/>
      </c>
      <c r="AS250">
        <f>HYPERLINK("https://creighton-primo.hosted.exlibrisgroup.com/primo-explore/search?tab=default_tab&amp;search_scope=EVERYTHING&amp;vid=01CRU&amp;lang=en_US&amp;offset=0&amp;query=any,contains,991003781489702656","Catalog Record")</f>
        <v/>
      </c>
      <c r="AT250">
        <f>HYPERLINK("http://www.worldcat.org/oclc/1495157","WorldCat Record")</f>
        <v/>
      </c>
      <c r="AU250" t="inlineStr">
        <is>
          <t>1170060:eng</t>
        </is>
      </c>
      <c r="AV250" t="inlineStr">
        <is>
          <t>1495157</t>
        </is>
      </c>
      <c r="AW250" t="inlineStr">
        <is>
          <t>991003781489702656</t>
        </is>
      </c>
      <c r="AX250" t="inlineStr">
        <is>
          <t>991003781489702656</t>
        </is>
      </c>
      <c r="AY250" t="inlineStr">
        <is>
          <t>2272622610002656</t>
        </is>
      </c>
      <c r="AZ250" t="inlineStr">
        <is>
          <t>BOOK</t>
        </is>
      </c>
      <c r="BC250" t="inlineStr">
        <is>
          <t>32285001757854</t>
        </is>
      </c>
      <c r="BD250" t="inlineStr">
        <is>
          <t>893693150</t>
        </is>
      </c>
    </row>
    <row r="251">
      <c r="A251" t="inlineStr">
        <is>
          <t>No</t>
        </is>
      </c>
      <c r="B251" t="inlineStr">
        <is>
          <t>NA7125 .G85 1989</t>
        </is>
      </c>
      <c r="C251" t="inlineStr">
        <is>
          <t>0                      NA 7125000G  85          1989</t>
        </is>
      </c>
      <c r="D251" t="inlineStr">
        <is>
          <t>The Victorian house book / Robin Guild ; with Vernon Gibberd and other contributors.</t>
        </is>
      </c>
      <c r="F251" t="inlineStr">
        <is>
          <t>No</t>
        </is>
      </c>
      <c r="G251" t="inlineStr">
        <is>
          <t>1</t>
        </is>
      </c>
      <c r="H251" t="inlineStr">
        <is>
          <t>No</t>
        </is>
      </c>
      <c r="I251" t="inlineStr">
        <is>
          <t>No</t>
        </is>
      </c>
      <c r="J251" t="inlineStr">
        <is>
          <t>0</t>
        </is>
      </c>
      <c r="K251" t="inlineStr">
        <is>
          <t>Guild, Robin.</t>
        </is>
      </c>
      <c r="L251" t="inlineStr">
        <is>
          <t>New York : Rizzoli, 1989.</t>
        </is>
      </c>
      <c r="M251" t="inlineStr">
        <is>
          <t>1989</t>
        </is>
      </c>
      <c r="O251" t="inlineStr">
        <is>
          <t>eng</t>
        </is>
      </c>
      <c r="P251" t="inlineStr">
        <is>
          <t>nyu</t>
        </is>
      </c>
      <c r="R251" t="inlineStr">
        <is>
          <t xml:space="preserve">NA </t>
        </is>
      </c>
      <c r="S251" t="n">
        <v>17</v>
      </c>
      <c r="T251" t="n">
        <v>17</v>
      </c>
      <c r="U251" t="inlineStr">
        <is>
          <t>2004-11-01</t>
        </is>
      </c>
      <c r="V251" t="inlineStr">
        <is>
          <t>2004-11-01</t>
        </is>
      </c>
      <c r="W251" t="inlineStr">
        <is>
          <t>1990-01-09</t>
        </is>
      </c>
      <c r="X251" t="inlineStr">
        <is>
          <t>1990-01-09</t>
        </is>
      </c>
      <c r="Y251" t="n">
        <v>639</v>
      </c>
      <c r="Z251" t="n">
        <v>600</v>
      </c>
      <c r="AA251" t="n">
        <v>762</v>
      </c>
      <c r="AB251" t="n">
        <v>6</v>
      </c>
      <c r="AC251" t="n">
        <v>8</v>
      </c>
      <c r="AD251" t="n">
        <v>10</v>
      </c>
      <c r="AE251" t="n">
        <v>10</v>
      </c>
      <c r="AF251" t="n">
        <v>3</v>
      </c>
      <c r="AG251" t="n">
        <v>3</v>
      </c>
      <c r="AH251" t="n">
        <v>1</v>
      </c>
      <c r="AI251" t="n">
        <v>1</v>
      </c>
      <c r="AJ251" t="n">
        <v>3</v>
      </c>
      <c r="AK251" t="n">
        <v>3</v>
      </c>
      <c r="AL251" t="n">
        <v>3</v>
      </c>
      <c r="AM251" t="n">
        <v>3</v>
      </c>
      <c r="AN251" t="n">
        <v>0</v>
      </c>
      <c r="AO251" t="n">
        <v>0</v>
      </c>
      <c r="AP251" t="inlineStr">
        <is>
          <t>No</t>
        </is>
      </c>
      <c r="AQ251" t="inlineStr">
        <is>
          <t>Yes</t>
        </is>
      </c>
      <c r="AR251">
        <f>HYPERLINK("http://catalog.hathitrust.org/Record/001838052","HathiTrust Record")</f>
        <v/>
      </c>
      <c r="AS251">
        <f>HYPERLINK("https://creighton-primo.hosted.exlibrisgroup.com/primo-explore/search?tab=default_tab&amp;search_scope=EVERYTHING&amp;vid=01CRU&amp;lang=en_US&amp;offset=0&amp;query=any,contains,991001463299702656","Catalog Record")</f>
        <v/>
      </c>
      <c r="AT251">
        <f>HYPERLINK("http://www.worldcat.org/oclc/19458230","WorldCat Record")</f>
        <v/>
      </c>
      <c r="AU251" t="inlineStr">
        <is>
          <t>21226568:eng</t>
        </is>
      </c>
      <c r="AV251" t="inlineStr">
        <is>
          <t>19458230</t>
        </is>
      </c>
      <c r="AW251" t="inlineStr">
        <is>
          <t>991001463299702656</t>
        </is>
      </c>
      <c r="AX251" t="inlineStr">
        <is>
          <t>991001463299702656</t>
        </is>
      </c>
      <c r="AY251" t="inlineStr">
        <is>
          <t>2267450180002656</t>
        </is>
      </c>
      <c r="AZ251" t="inlineStr">
        <is>
          <t>BOOK</t>
        </is>
      </c>
      <c r="BB251" t="inlineStr">
        <is>
          <t>9780847810956</t>
        </is>
      </c>
      <c r="BC251" t="inlineStr">
        <is>
          <t>32285000026970</t>
        </is>
      </c>
      <c r="BD251" t="inlineStr">
        <is>
          <t>893797595</t>
        </is>
      </c>
    </row>
    <row r="252">
      <c r="A252" t="inlineStr">
        <is>
          <t>No</t>
        </is>
      </c>
      <c r="B252" t="inlineStr">
        <is>
          <t>NA7125 .R9 1987</t>
        </is>
      </c>
      <c r="C252" t="inlineStr">
        <is>
          <t>0                      NA 7125000R  9           1987</t>
        </is>
      </c>
      <c r="D252" t="inlineStr">
        <is>
          <t>Home : a short history of an idea / Witold Rybczynski.</t>
        </is>
      </c>
      <c r="F252" t="inlineStr">
        <is>
          <t>No</t>
        </is>
      </c>
      <c r="G252" t="inlineStr">
        <is>
          <t>1</t>
        </is>
      </c>
      <c r="H252" t="inlineStr">
        <is>
          <t>No</t>
        </is>
      </c>
      <c r="I252" t="inlineStr">
        <is>
          <t>No</t>
        </is>
      </c>
      <c r="J252" t="inlineStr">
        <is>
          <t>0</t>
        </is>
      </c>
      <c r="K252" t="inlineStr">
        <is>
          <t>Rybczynski, Witold.</t>
        </is>
      </c>
      <c r="L252" t="inlineStr">
        <is>
          <t>New York, NY : Penguin Books, 1987, c1986.</t>
        </is>
      </c>
      <c r="M252" t="inlineStr">
        <is>
          <t>1987</t>
        </is>
      </c>
      <c r="O252" t="inlineStr">
        <is>
          <t>eng</t>
        </is>
      </c>
      <c r="P252" t="inlineStr">
        <is>
          <t>nyu</t>
        </is>
      </c>
      <c r="R252" t="inlineStr">
        <is>
          <t xml:space="preserve">NA </t>
        </is>
      </c>
      <c r="S252" t="n">
        <v>4</v>
      </c>
      <c r="T252" t="n">
        <v>4</v>
      </c>
      <c r="U252" t="inlineStr">
        <is>
          <t>2010-01-19</t>
        </is>
      </c>
      <c r="V252" t="inlineStr">
        <is>
          <t>2010-01-19</t>
        </is>
      </c>
      <c r="W252" t="inlineStr">
        <is>
          <t>1995-02-03</t>
        </is>
      </c>
      <c r="X252" t="inlineStr">
        <is>
          <t>1995-02-03</t>
        </is>
      </c>
      <c r="Y252" t="n">
        <v>560</v>
      </c>
      <c r="Z252" t="n">
        <v>432</v>
      </c>
      <c r="AA252" t="n">
        <v>1334</v>
      </c>
      <c r="AB252" t="n">
        <v>4</v>
      </c>
      <c r="AC252" t="n">
        <v>6</v>
      </c>
      <c r="AD252" t="n">
        <v>17</v>
      </c>
      <c r="AE252" t="n">
        <v>40</v>
      </c>
      <c r="AF252" t="n">
        <v>7</v>
      </c>
      <c r="AG252" t="n">
        <v>19</v>
      </c>
      <c r="AH252" t="n">
        <v>2</v>
      </c>
      <c r="AI252" t="n">
        <v>6</v>
      </c>
      <c r="AJ252" t="n">
        <v>10</v>
      </c>
      <c r="AK252" t="n">
        <v>20</v>
      </c>
      <c r="AL252" t="n">
        <v>3</v>
      </c>
      <c r="AM252" t="n">
        <v>5</v>
      </c>
      <c r="AN252" t="n">
        <v>0</v>
      </c>
      <c r="AO252" t="n">
        <v>0</v>
      </c>
      <c r="AP252" t="inlineStr">
        <is>
          <t>No</t>
        </is>
      </c>
      <c r="AQ252" t="inlineStr">
        <is>
          <t>Yes</t>
        </is>
      </c>
      <c r="AR252">
        <f>HYPERLINK("http://catalog.hathitrust.org/Record/008231658","HathiTrust Record")</f>
        <v/>
      </c>
      <c r="AS252">
        <f>HYPERLINK("https://creighton-primo.hosted.exlibrisgroup.com/primo-explore/search?tab=default_tab&amp;search_scope=EVERYTHING&amp;vid=01CRU&amp;lang=en_US&amp;offset=0&amp;query=any,contains,991000972649702656","Catalog Record")</f>
        <v/>
      </c>
      <c r="AT252">
        <f>HYPERLINK("http://www.worldcat.org/oclc/14966304","WorldCat Record")</f>
        <v/>
      </c>
      <c r="AU252" t="inlineStr">
        <is>
          <t>44216659:eng</t>
        </is>
      </c>
      <c r="AV252" t="inlineStr">
        <is>
          <t>14966304</t>
        </is>
      </c>
      <c r="AW252" t="inlineStr">
        <is>
          <t>991000972649702656</t>
        </is>
      </c>
      <c r="AX252" t="inlineStr">
        <is>
          <t>991000972649702656</t>
        </is>
      </c>
      <c r="AY252" t="inlineStr">
        <is>
          <t>2264100470002656</t>
        </is>
      </c>
      <c r="AZ252" t="inlineStr">
        <is>
          <t>BOOK</t>
        </is>
      </c>
      <c r="BB252" t="inlineStr">
        <is>
          <t>9780140102314</t>
        </is>
      </c>
      <c r="BC252" t="inlineStr">
        <is>
          <t>32285001997179</t>
        </is>
      </c>
      <c r="BD252" t="inlineStr">
        <is>
          <t>893419940</t>
        </is>
      </c>
    </row>
    <row r="253">
      <c r="A253" t="inlineStr">
        <is>
          <t>No</t>
        </is>
      </c>
      <c r="B253" t="inlineStr">
        <is>
          <t>NA7145 .H47 1984</t>
        </is>
      </c>
      <c r="C253" t="inlineStr">
        <is>
          <t>0                      NA 7145000H  47          1984</t>
        </is>
      </c>
      <c r="D253" t="inlineStr">
        <is>
          <t>The dream of the factory-made house : Walter Gropius and Konrad Wachsmann / Gilbert Herbert.</t>
        </is>
      </c>
      <c r="F253" t="inlineStr">
        <is>
          <t>No</t>
        </is>
      </c>
      <c r="G253" t="inlineStr">
        <is>
          <t>1</t>
        </is>
      </c>
      <c r="H253" t="inlineStr">
        <is>
          <t>No</t>
        </is>
      </c>
      <c r="I253" t="inlineStr">
        <is>
          <t>No</t>
        </is>
      </c>
      <c r="J253" t="inlineStr">
        <is>
          <t>0</t>
        </is>
      </c>
      <c r="K253" t="inlineStr">
        <is>
          <t>Herbert, Gilbert.</t>
        </is>
      </c>
      <c r="L253" t="inlineStr">
        <is>
          <t>Cambridge, Mass. : MIT Press, c1984.</t>
        </is>
      </c>
      <c r="M253" t="inlineStr">
        <is>
          <t>1984</t>
        </is>
      </c>
      <c r="O253" t="inlineStr">
        <is>
          <t>eng</t>
        </is>
      </c>
      <c r="P253" t="inlineStr">
        <is>
          <t>mau</t>
        </is>
      </c>
      <c r="R253" t="inlineStr">
        <is>
          <t xml:space="preserve">NA </t>
        </is>
      </c>
      <c r="S253" t="n">
        <v>4</v>
      </c>
      <c r="T253" t="n">
        <v>4</v>
      </c>
      <c r="U253" t="inlineStr">
        <is>
          <t>2001-04-23</t>
        </is>
      </c>
      <c r="V253" t="inlineStr">
        <is>
          <t>2001-04-23</t>
        </is>
      </c>
      <c r="W253" t="inlineStr">
        <is>
          <t>1993-05-14</t>
        </is>
      </c>
      <c r="X253" t="inlineStr">
        <is>
          <t>1993-05-14</t>
        </is>
      </c>
      <c r="Y253" t="n">
        <v>544</v>
      </c>
      <c r="Z253" t="n">
        <v>408</v>
      </c>
      <c r="AA253" t="n">
        <v>414</v>
      </c>
      <c r="AB253" t="n">
        <v>2</v>
      </c>
      <c r="AC253" t="n">
        <v>2</v>
      </c>
      <c r="AD253" t="n">
        <v>14</v>
      </c>
      <c r="AE253" t="n">
        <v>14</v>
      </c>
      <c r="AF253" t="n">
        <v>5</v>
      </c>
      <c r="AG253" t="n">
        <v>5</v>
      </c>
      <c r="AH253" t="n">
        <v>2</v>
      </c>
      <c r="AI253" t="n">
        <v>2</v>
      </c>
      <c r="AJ253" t="n">
        <v>8</v>
      </c>
      <c r="AK253" t="n">
        <v>8</v>
      </c>
      <c r="AL253" t="n">
        <v>1</v>
      </c>
      <c r="AM253" t="n">
        <v>1</v>
      </c>
      <c r="AN253" t="n">
        <v>0</v>
      </c>
      <c r="AO253" t="n">
        <v>0</v>
      </c>
      <c r="AP253" t="inlineStr">
        <is>
          <t>No</t>
        </is>
      </c>
      <c r="AQ253" t="inlineStr">
        <is>
          <t>Yes</t>
        </is>
      </c>
      <c r="AR253">
        <f>HYPERLINK("http://catalog.hathitrust.org/Record/000335173","HathiTrust Record")</f>
        <v/>
      </c>
      <c r="AS253">
        <f>HYPERLINK("https://creighton-primo.hosted.exlibrisgroup.com/primo-explore/search?tab=default_tab&amp;search_scope=EVERYTHING&amp;vid=01CRU&amp;lang=en_US&amp;offset=0&amp;query=any,contains,991000462859702656","Catalog Record")</f>
        <v/>
      </c>
      <c r="AT253">
        <f>HYPERLINK("http://www.worldcat.org/oclc/10948755","WorldCat Record")</f>
        <v/>
      </c>
      <c r="AU253" t="inlineStr">
        <is>
          <t>3751208:eng</t>
        </is>
      </c>
      <c r="AV253" t="inlineStr">
        <is>
          <t>10948755</t>
        </is>
      </c>
      <c r="AW253" t="inlineStr">
        <is>
          <t>991000462859702656</t>
        </is>
      </c>
      <c r="AX253" t="inlineStr">
        <is>
          <t>991000462859702656</t>
        </is>
      </c>
      <c r="AY253" t="inlineStr">
        <is>
          <t>2272636030002656</t>
        </is>
      </c>
      <c r="AZ253" t="inlineStr">
        <is>
          <t>BOOK</t>
        </is>
      </c>
      <c r="BB253" t="inlineStr">
        <is>
          <t>9780262081405</t>
        </is>
      </c>
      <c r="BC253" t="inlineStr">
        <is>
          <t>32285001658219</t>
        </is>
      </c>
      <c r="BD253" t="inlineStr">
        <is>
          <t>893784230</t>
        </is>
      </c>
    </row>
    <row r="254">
      <c r="A254" t="inlineStr">
        <is>
          <t>No</t>
        </is>
      </c>
      <c r="B254" t="inlineStr">
        <is>
          <t>NA715 .C63</t>
        </is>
      </c>
      <c r="C254" t="inlineStr">
        <is>
          <t>0                      NA 0715000C  63</t>
        </is>
      </c>
      <c r="D254" t="inlineStr">
        <is>
          <t>Colonial architecture in New England : from material originally published as the White pine series of architectural monographs, edited by Russell F. Whitehead and Frank Chouteau Brown / prepared for this series by the staff of the Early American Society, Robert G. Miner, editor ... [et al.].</t>
        </is>
      </c>
      <c r="F254" t="inlineStr">
        <is>
          <t>No</t>
        </is>
      </c>
      <c r="G254" t="inlineStr">
        <is>
          <t>1</t>
        </is>
      </c>
      <c r="H254" t="inlineStr">
        <is>
          <t>No</t>
        </is>
      </c>
      <c r="I254" t="inlineStr">
        <is>
          <t>No</t>
        </is>
      </c>
      <c r="J254" t="inlineStr">
        <is>
          <t>0</t>
        </is>
      </c>
      <c r="L254" t="inlineStr">
        <is>
          <t>New York : Arno Press, c1977.</t>
        </is>
      </c>
      <c r="M254" t="inlineStr">
        <is>
          <t>1977</t>
        </is>
      </c>
      <c r="O254" t="inlineStr">
        <is>
          <t>eng</t>
        </is>
      </c>
      <c r="P254" t="inlineStr">
        <is>
          <t>nyu</t>
        </is>
      </c>
      <c r="Q254" t="inlineStr">
        <is>
          <t>An Early American Society book</t>
        </is>
      </c>
      <c r="R254" t="inlineStr">
        <is>
          <t xml:space="preserve">NA </t>
        </is>
      </c>
      <c r="S254" t="n">
        <v>5</v>
      </c>
      <c r="T254" t="n">
        <v>5</v>
      </c>
      <c r="U254" t="inlineStr">
        <is>
          <t>1998-02-25</t>
        </is>
      </c>
      <c r="V254" t="inlineStr">
        <is>
          <t>1998-02-25</t>
        </is>
      </c>
      <c r="W254" t="inlineStr">
        <is>
          <t>1992-02-10</t>
        </is>
      </c>
      <c r="X254" t="inlineStr">
        <is>
          <t>1992-02-10</t>
        </is>
      </c>
      <c r="Y254" t="n">
        <v>505</v>
      </c>
      <c r="Z254" t="n">
        <v>491</v>
      </c>
      <c r="AA254" t="n">
        <v>494</v>
      </c>
      <c r="AB254" t="n">
        <v>2</v>
      </c>
      <c r="AC254" t="n">
        <v>2</v>
      </c>
      <c r="AD254" t="n">
        <v>13</v>
      </c>
      <c r="AE254" t="n">
        <v>13</v>
      </c>
      <c r="AF254" t="n">
        <v>7</v>
      </c>
      <c r="AG254" t="n">
        <v>7</v>
      </c>
      <c r="AH254" t="n">
        <v>3</v>
      </c>
      <c r="AI254" t="n">
        <v>3</v>
      </c>
      <c r="AJ254" t="n">
        <v>5</v>
      </c>
      <c r="AK254" t="n">
        <v>5</v>
      </c>
      <c r="AL254" t="n">
        <v>1</v>
      </c>
      <c r="AM254" t="n">
        <v>1</v>
      </c>
      <c r="AN254" t="n">
        <v>0</v>
      </c>
      <c r="AO254" t="n">
        <v>0</v>
      </c>
      <c r="AP254" t="inlineStr">
        <is>
          <t>No</t>
        </is>
      </c>
      <c r="AQ254" t="inlineStr">
        <is>
          <t>Yes</t>
        </is>
      </c>
      <c r="AR254">
        <f>HYPERLINK("http://catalog.hathitrust.org/Record/003559599","HathiTrust Record")</f>
        <v/>
      </c>
      <c r="AS254">
        <f>HYPERLINK("https://creighton-primo.hosted.exlibrisgroup.com/primo-explore/search?tab=default_tab&amp;search_scope=EVERYTHING&amp;vid=01CRU&amp;lang=en_US&amp;offset=0&amp;query=any,contains,991004393719702656","Catalog Record")</f>
        <v/>
      </c>
      <c r="AT254">
        <f>HYPERLINK("http://www.worldcat.org/oclc/3273943","WorldCat Record")</f>
        <v/>
      </c>
      <c r="AU254" t="inlineStr">
        <is>
          <t>5578052008:eng</t>
        </is>
      </c>
      <c r="AV254" t="inlineStr">
        <is>
          <t>3273943</t>
        </is>
      </c>
      <c r="AW254" t="inlineStr">
        <is>
          <t>991004393719702656</t>
        </is>
      </c>
      <c r="AX254" t="inlineStr">
        <is>
          <t>991004393719702656</t>
        </is>
      </c>
      <c r="AY254" t="inlineStr">
        <is>
          <t>2263177890002656</t>
        </is>
      </c>
      <c r="AZ254" t="inlineStr">
        <is>
          <t>BOOK</t>
        </is>
      </c>
      <c r="BB254" t="inlineStr">
        <is>
          <t>9780405100666</t>
        </is>
      </c>
      <c r="BC254" t="inlineStr">
        <is>
          <t>32285000954619</t>
        </is>
      </c>
      <c r="BD254" t="inlineStr">
        <is>
          <t>893605974</t>
        </is>
      </c>
    </row>
    <row r="255">
      <c r="A255" t="inlineStr">
        <is>
          <t>No</t>
        </is>
      </c>
      <c r="B255" t="inlineStr">
        <is>
          <t>NA7205 .D3</t>
        </is>
      </c>
      <c r="C255" t="inlineStr">
        <is>
          <t>0                      NA 7205000D  3</t>
        </is>
      </c>
      <c r="D255" t="inlineStr">
        <is>
          <t>The American Heritage history of notable American houses / author and editor in charge, Marshall B. Davidson. Biographical essays, Margot P. Brill.</t>
        </is>
      </c>
      <c r="F255" t="inlineStr">
        <is>
          <t>No</t>
        </is>
      </c>
      <c r="G255" t="inlineStr">
        <is>
          <t>1</t>
        </is>
      </c>
      <c r="H255" t="inlineStr">
        <is>
          <t>No</t>
        </is>
      </c>
      <c r="I255" t="inlineStr">
        <is>
          <t>No</t>
        </is>
      </c>
      <c r="J255" t="inlineStr">
        <is>
          <t>0</t>
        </is>
      </c>
      <c r="K255" t="inlineStr">
        <is>
          <t>Davidson, Marshall B.</t>
        </is>
      </c>
      <c r="L255" t="inlineStr">
        <is>
          <t>New York : American Heritage Pub. Co., [1971]</t>
        </is>
      </c>
      <c r="M255" t="inlineStr">
        <is>
          <t>1971</t>
        </is>
      </c>
      <c r="O255" t="inlineStr">
        <is>
          <t>eng</t>
        </is>
      </c>
      <c r="P255" t="inlineStr">
        <is>
          <t>nyu</t>
        </is>
      </c>
      <c r="R255" t="inlineStr">
        <is>
          <t xml:space="preserve">NA </t>
        </is>
      </c>
      <c r="S255" t="n">
        <v>3</v>
      </c>
      <c r="T255" t="n">
        <v>3</v>
      </c>
      <c r="U255" t="inlineStr">
        <is>
          <t>1998-02-28</t>
        </is>
      </c>
      <c r="V255" t="inlineStr">
        <is>
          <t>1998-02-28</t>
        </is>
      </c>
      <c r="W255" t="inlineStr">
        <is>
          <t>1990-11-30</t>
        </is>
      </c>
      <c r="X255" t="inlineStr">
        <is>
          <t>1990-11-30</t>
        </is>
      </c>
      <c r="Y255" t="n">
        <v>1790</v>
      </c>
      <c r="Z255" t="n">
        <v>1717</v>
      </c>
      <c r="AA255" t="n">
        <v>1729</v>
      </c>
      <c r="AB255" t="n">
        <v>10</v>
      </c>
      <c r="AC255" t="n">
        <v>10</v>
      </c>
      <c r="AD255" t="n">
        <v>36</v>
      </c>
      <c r="AE255" t="n">
        <v>37</v>
      </c>
      <c r="AF255" t="n">
        <v>16</v>
      </c>
      <c r="AG255" t="n">
        <v>17</v>
      </c>
      <c r="AH255" t="n">
        <v>7</v>
      </c>
      <c r="AI255" t="n">
        <v>7</v>
      </c>
      <c r="AJ255" t="n">
        <v>19</v>
      </c>
      <c r="AK255" t="n">
        <v>19</v>
      </c>
      <c r="AL255" t="n">
        <v>5</v>
      </c>
      <c r="AM255" t="n">
        <v>5</v>
      </c>
      <c r="AN255" t="n">
        <v>0</v>
      </c>
      <c r="AO255" t="n">
        <v>0</v>
      </c>
      <c r="AP255" t="inlineStr">
        <is>
          <t>No</t>
        </is>
      </c>
      <c r="AQ255" t="inlineStr">
        <is>
          <t>Yes</t>
        </is>
      </c>
      <c r="AR255">
        <f>HYPERLINK("http://catalog.hathitrust.org/Record/000643645","HathiTrust Record")</f>
        <v/>
      </c>
      <c r="AS255">
        <f>HYPERLINK("https://creighton-primo.hosted.exlibrisgroup.com/primo-explore/search?tab=default_tab&amp;search_scope=EVERYTHING&amp;vid=01CRU&amp;lang=en_US&amp;offset=0&amp;query=any,contains,991001084549702656","Catalog Record")</f>
        <v/>
      </c>
      <c r="AT255">
        <f>HYPERLINK("http://www.worldcat.org/oclc/179823","WorldCat Record")</f>
        <v/>
      </c>
      <c r="AU255" t="inlineStr">
        <is>
          <t>405098:eng</t>
        </is>
      </c>
      <c r="AV255" t="inlineStr">
        <is>
          <t>179823</t>
        </is>
      </c>
      <c r="AW255" t="inlineStr">
        <is>
          <t>991001084549702656</t>
        </is>
      </c>
      <c r="AX255" t="inlineStr">
        <is>
          <t>991001084549702656</t>
        </is>
      </c>
      <c r="AY255" t="inlineStr">
        <is>
          <t>2264862610002656</t>
        </is>
      </c>
      <c r="AZ255" t="inlineStr">
        <is>
          <t>BOOK</t>
        </is>
      </c>
      <c r="BB255" t="inlineStr">
        <is>
          <t>9780070154674</t>
        </is>
      </c>
      <c r="BC255" t="inlineStr">
        <is>
          <t>32285000411065</t>
        </is>
      </c>
      <c r="BD255" t="inlineStr">
        <is>
          <t>893509368</t>
        </is>
      </c>
    </row>
    <row r="256">
      <c r="A256" t="inlineStr">
        <is>
          <t>No</t>
        </is>
      </c>
      <c r="B256" t="inlineStr">
        <is>
          <t>NA7205 .J66 1987</t>
        </is>
      </c>
      <c r="C256" t="inlineStr">
        <is>
          <t>0                      NA 7205000J  66          1987</t>
        </is>
      </c>
      <c r="D256" t="inlineStr">
        <is>
          <t>Authentic small houses of the twenties : illustrations and floor plans of 254 characteristic homes / edited by Robert T. Jones.</t>
        </is>
      </c>
      <c r="F256" t="inlineStr">
        <is>
          <t>No</t>
        </is>
      </c>
      <c r="G256" t="inlineStr">
        <is>
          <t>1</t>
        </is>
      </c>
      <c r="H256" t="inlineStr">
        <is>
          <t>No</t>
        </is>
      </c>
      <c r="I256" t="inlineStr">
        <is>
          <t>No</t>
        </is>
      </c>
      <c r="J256" t="inlineStr">
        <is>
          <t>0</t>
        </is>
      </c>
      <c r="K256" t="inlineStr">
        <is>
          <t>Jones, Robert T. (Robert Taylor), 1884-</t>
        </is>
      </c>
      <c r="L256" t="inlineStr">
        <is>
          <t>New York : Dover Publications, 1987.</t>
        </is>
      </c>
      <c r="M256" t="inlineStr">
        <is>
          <t>1987</t>
        </is>
      </c>
      <c r="O256" t="inlineStr">
        <is>
          <t>eng</t>
        </is>
      </c>
      <c r="P256" t="inlineStr">
        <is>
          <t>nyu</t>
        </is>
      </c>
      <c r="Q256" t="inlineStr">
        <is>
          <t>Dover books on architecture</t>
        </is>
      </c>
      <c r="R256" t="inlineStr">
        <is>
          <t xml:space="preserve">NA </t>
        </is>
      </c>
      <c r="S256" t="n">
        <v>5</v>
      </c>
      <c r="T256" t="n">
        <v>5</v>
      </c>
      <c r="U256" t="inlineStr">
        <is>
          <t>1993-11-06</t>
        </is>
      </c>
      <c r="V256" t="inlineStr">
        <is>
          <t>1993-11-06</t>
        </is>
      </c>
      <c r="W256" t="inlineStr">
        <is>
          <t>1991-01-25</t>
        </is>
      </c>
      <c r="X256" t="inlineStr">
        <is>
          <t>1991-01-25</t>
        </is>
      </c>
      <c r="Y256" t="n">
        <v>342</v>
      </c>
      <c r="Z256" t="n">
        <v>304</v>
      </c>
      <c r="AA256" t="n">
        <v>309</v>
      </c>
      <c r="AB256" t="n">
        <v>2</v>
      </c>
      <c r="AC256" t="n">
        <v>2</v>
      </c>
      <c r="AD256" t="n">
        <v>5</v>
      </c>
      <c r="AE256" t="n">
        <v>5</v>
      </c>
      <c r="AF256" t="n">
        <v>3</v>
      </c>
      <c r="AG256" t="n">
        <v>3</v>
      </c>
      <c r="AH256" t="n">
        <v>1</v>
      </c>
      <c r="AI256" t="n">
        <v>1</v>
      </c>
      <c r="AJ256" t="n">
        <v>4</v>
      </c>
      <c r="AK256" t="n">
        <v>4</v>
      </c>
      <c r="AL256" t="n">
        <v>0</v>
      </c>
      <c r="AM256" t="n">
        <v>0</v>
      </c>
      <c r="AN256" t="n">
        <v>0</v>
      </c>
      <c r="AO256" t="n">
        <v>0</v>
      </c>
      <c r="AP256" t="inlineStr">
        <is>
          <t>No</t>
        </is>
      </c>
      <c r="AQ256" t="inlineStr">
        <is>
          <t>Yes</t>
        </is>
      </c>
      <c r="AR256">
        <f>HYPERLINK("http://catalog.hathitrust.org/Record/000877799","HathiTrust Record")</f>
        <v/>
      </c>
      <c r="AS256">
        <f>HYPERLINK("https://creighton-primo.hosted.exlibrisgroup.com/primo-explore/search?tab=default_tab&amp;search_scope=EVERYTHING&amp;vid=01CRU&amp;lang=en_US&amp;offset=0&amp;query=any,contains,991000972199702656","Catalog Record")</f>
        <v/>
      </c>
      <c r="AT256">
        <f>HYPERLINK("http://www.worldcat.org/oclc/14965475","WorldCat Record")</f>
        <v/>
      </c>
      <c r="AU256" t="inlineStr">
        <is>
          <t>8511108:eng</t>
        </is>
      </c>
      <c r="AV256" t="inlineStr">
        <is>
          <t>14965475</t>
        </is>
      </c>
      <c r="AW256" t="inlineStr">
        <is>
          <t>991000972199702656</t>
        </is>
      </c>
      <c r="AX256" t="inlineStr">
        <is>
          <t>991000972199702656</t>
        </is>
      </c>
      <c r="AY256" t="inlineStr">
        <is>
          <t>2268506510002656</t>
        </is>
      </c>
      <c r="AZ256" t="inlineStr">
        <is>
          <t>BOOK</t>
        </is>
      </c>
      <c r="BB256" t="inlineStr">
        <is>
          <t>9780486254067</t>
        </is>
      </c>
      <c r="BC256" t="inlineStr">
        <is>
          <t>32285000298942</t>
        </is>
      </c>
      <c r="BD256" t="inlineStr">
        <is>
          <t>893413849</t>
        </is>
      </c>
    </row>
    <row r="257">
      <c r="A257" t="inlineStr">
        <is>
          <t>No</t>
        </is>
      </c>
      <c r="B257" t="inlineStr">
        <is>
          <t>NA7205 .L2 1879</t>
        </is>
      </c>
      <c r="C257" t="inlineStr">
        <is>
          <t>0                      NA 7205000L  2           1879</t>
        </is>
      </c>
      <c r="D257" t="inlineStr">
        <is>
          <t>The homes of America / with one hundred and three illustrations. Ed. by Mrs. Martha J. Lamb.</t>
        </is>
      </c>
      <c r="F257" t="inlineStr">
        <is>
          <t>No</t>
        </is>
      </c>
      <c r="G257" t="inlineStr">
        <is>
          <t>1</t>
        </is>
      </c>
      <c r="H257" t="inlineStr">
        <is>
          <t>No</t>
        </is>
      </c>
      <c r="I257" t="inlineStr">
        <is>
          <t>No</t>
        </is>
      </c>
      <c r="J257" t="inlineStr">
        <is>
          <t>0</t>
        </is>
      </c>
      <c r="K257" t="inlineStr">
        <is>
          <t>Lamb, Martha J. (Martha Joanna), 1829-1893, editor.</t>
        </is>
      </c>
      <c r="L257" t="inlineStr">
        <is>
          <t>New York : D. Appleton and company, [c1879]</t>
        </is>
      </c>
      <c r="M257" t="inlineStr">
        <is>
          <t>1879</t>
        </is>
      </c>
      <c r="O257" t="inlineStr">
        <is>
          <t>eng</t>
        </is>
      </c>
      <c r="P257" t="inlineStr">
        <is>
          <t xml:space="preserve">xx </t>
        </is>
      </c>
      <c r="R257" t="inlineStr">
        <is>
          <t xml:space="preserve">NA </t>
        </is>
      </c>
      <c r="S257" t="n">
        <v>1</v>
      </c>
      <c r="T257" t="n">
        <v>1</v>
      </c>
      <c r="U257" t="inlineStr">
        <is>
          <t>2004-02-20</t>
        </is>
      </c>
      <c r="V257" t="inlineStr">
        <is>
          <t>2004-02-20</t>
        </is>
      </c>
      <c r="W257" t="inlineStr">
        <is>
          <t>1996-07-19</t>
        </is>
      </c>
      <c r="X257" t="inlineStr">
        <is>
          <t>1996-07-19</t>
        </is>
      </c>
      <c r="Y257" t="n">
        <v>120</v>
      </c>
      <c r="Z257" t="n">
        <v>118</v>
      </c>
      <c r="AA257" t="n">
        <v>264</v>
      </c>
      <c r="AB257" t="n">
        <v>1</v>
      </c>
      <c r="AC257" t="n">
        <v>3</v>
      </c>
      <c r="AD257" t="n">
        <v>4</v>
      </c>
      <c r="AE257" t="n">
        <v>11</v>
      </c>
      <c r="AF257" t="n">
        <v>1</v>
      </c>
      <c r="AG257" t="n">
        <v>3</v>
      </c>
      <c r="AH257" t="n">
        <v>1</v>
      </c>
      <c r="AI257" t="n">
        <v>3</v>
      </c>
      <c r="AJ257" t="n">
        <v>2</v>
      </c>
      <c r="AK257" t="n">
        <v>3</v>
      </c>
      <c r="AL257" t="n">
        <v>0</v>
      </c>
      <c r="AM257" t="n">
        <v>2</v>
      </c>
      <c r="AN257" t="n">
        <v>0</v>
      </c>
      <c r="AO257" t="n">
        <v>0</v>
      </c>
      <c r="AP257" t="inlineStr">
        <is>
          <t>Yes</t>
        </is>
      </c>
      <c r="AQ257" t="inlineStr">
        <is>
          <t>No</t>
        </is>
      </c>
      <c r="AR257">
        <f>HYPERLINK("http://catalog.hathitrust.org/Record/000644148","HathiTrust Record")</f>
        <v/>
      </c>
      <c r="AS257">
        <f>HYPERLINK("https://creighton-primo.hosted.exlibrisgroup.com/primo-explore/search?tab=default_tab&amp;search_scope=EVERYTHING&amp;vid=01CRU&amp;lang=en_US&amp;offset=0&amp;query=any,contains,991002924289702656","Catalog Record")</f>
        <v/>
      </c>
      <c r="AT257">
        <f>HYPERLINK("http://www.worldcat.org/oclc/528330","WorldCat Record")</f>
        <v/>
      </c>
      <c r="AU257" t="inlineStr">
        <is>
          <t>1537630:eng</t>
        </is>
      </c>
      <c r="AV257" t="inlineStr">
        <is>
          <t>528330</t>
        </is>
      </c>
      <c r="AW257" t="inlineStr">
        <is>
          <t>991002924289702656</t>
        </is>
      </c>
      <c r="AX257" t="inlineStr">
        <is>
          <t>991002924289702656</t>
        </is>
      </c>
      <c r="AY257" t="inlineStr">
        <is>
          <t>2263451510002656</t>
        </is>
      </c>
      <c r="AZ257" t="inlineStr">
        <is>
          <t>BOOK</t>
        </is>
      </c>
      <c r="BC257" t="inlineStr">
        <is>
          <t>32285002214103</t>
        </is>
      </c>
      <c r="BD257" t="inlineStr">
        <is>
          <t>893329722</t>
        </is>
      </c>
    </row>
    <row r="258">
      <c r="A258" t="inlineStr">
        <is>
          <t>No</t>
        </is>
      </c>
      <c r="B258" t="inlineStr">
        <is>
          <t>NA7205 .P68</t>
        </is>
      </c>
      <c r="C258" t="inlineStr">
        <is>
          <t>0                      NA 7205000P  68</t>
        </is>
      </c>
      <c r="D258" t="inlineStr">
        <is>
          <t>A guide to early American homes, South / [by] Dorothy &amp; Richard Pratt.</t>
        </is>
      </c>
      <c r="F258" t="inlineStr">
        <is>
          <t>No</t>
        </is>
      </c>
      <c r="G258" t="inlineStr">
        <is>
          <t>1</t>
        </is>
      </c>
      <c r="H258" t="inlineStr">
        <is>
          <t>No</t>
        </is>
      </c>
      <c r="I258" t="inlineStr">
        <is>
          <t>No</t>
        </is>
      </c>
      <c r="J258" t="inlineStr">
        <is>
          <t>0</t>
        </is>
      </c>
      <c r="K258" t="inlineStr">
        <is>
          <t>Pratt, Dorothy.</t>
        </is>
      </c>
      <c r="L258" t="inlineStr">
        <is>
          <t>New York : Bonanza Books, [c1956]</t>
        </is>
      </c>
      <c r="M258" t="inlineStr">
        <is>
          <t>1956</t>
        </is>
      </c>
      <c r="O258" t="inlineStr">
        <is>
          <t>eng</t>
        </is>
      </c>
      <c r="P258" t="inlineStr">
        <is>
          <t>nyu</t>
        </is>
      </c>
      <c r="R258" t="inlineStr">
        <is>
          <t xml:space="preserve">NA </t>
        </is>
      </c>
      <c r="S258" t="n">
        <v>3</v>
      </c>
      <c r="T258" t="n">
        <v>3</v>
      </c>
      <c r="U258" t="inlineStr">
        <is>
          <t>1994-11-18</t>
        </is>
      </c>
      <c r="V258" t="inlineStr">
        <is>
          <t>1994-11-18</t>
        </is>
      </c>
      <c r="W258" t="inlineStr">
        <is>
          <t>1990-11-30</t>
        </is>
      </c>
      <c r="X258" t="inlineStr">
        <is>
          <t>1990-11-30</t>
        </is>
      </c>
      <c r="Y258" t="n">
        <v>114</v>
      </c>
      <c r="Z258" t="n">
        <v>107</v>
      </c>
      <c r="AA258" t="n">
        <v>161</v>
      </c>
      <c r="AB258" t="n">
        <v>3</v>
      </c>
      <c r="AC258" t="n">
        <v>3</v>
      </c>
      <c r="AD258" t="n">
        <v>0</v>
      </c>
      <c r="AE258" t="n">
        <v>2</v>
      </c>
      <c r="AF258" t="n">
        <v>0</v>
      </c>
      <c r="AG258" t="n">
        <v>0</v>
      </c>
      <c r="AH258" t="n">
        <v>0</v>
      </c>
      <c r="AI258" t="n">
        <v>0</v>
      </c>
      <c r="AJ258" t="n">
        <v>0</v>
      </c>
      <c r="AK258" t="n">
        <v>2</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HYPERLINK("https://creighton-primo.hosted.exlibrisgroup.com/primo-explore/search?tab=default_tab&amp;search_scope=EVERYTHING&amp;vid=01CRU&amp;lang=en_US&amp;offset=0&amp;query=any,contains,991005175649702656","Catalog Record")</f>
        <v/>
      </c>
      <c r="AT258">
        <f>HYPERLINK("http://www.worldcat.org/oclc/7922269","WorldCat Record")</f>
        <v/>
      </c>
      <c r="AU258" t="inlineStr">
        <is>
          <t>9593767336:eng</t>
        </is>
      </c>
      <c r="AV258" t="inlineStr">
        <is>
          <t>7922269</t>
        </is>
      </c>
      <c r="AW258" t="inlineStr">
        <is>
          <t>991005175649702656</t>
        </is>
      </c>
      <c r="AX258" t="inlineStr">
        <is>
          <t>991005175649702656</t>
        </is>
      </c>
      <c r="AY258" t="inlineStr">
        <is>
          <t>2259183420002656</t>
        </is>
      </c>
      <c r="AZ258" t="inlineStr">
        <is>
          <t>BOOK</t>
        </is>
      </c>
      <c r="BC258" t="inlineStr">
        <is>
          <t>32285000411073</t>
        </is>
      </c>
      <c r="BD258" t="inlineStr">
        <is>
          <t>893870650</t>
        </is>
      </c>
    </row>
    <row r="259">
      <c r="A259" t="inlineStr">
        <is>
          <t>No</t>
        </is>
      </c>
      <c r="B259" t="inlineStr">
        <is>
          <t>NA7205 .P7</t>
        </is>
      </c>
      <c r="C259" t="inlineStr">
        <is>
          <t>0                      NA 7205000P  7</t>
        </is>
      </c>
      <c r="D259" t="inlineStr">
        <is>
          <t>A treasury of early American homes.</t>
        </is>
      </c>
      <c r="F259" t="inlineStr">
        <is>
          <t>No</t>
        </is>
      </c>
      <c r="G259" t="inlineStr">
        <is>
          <t>1</t>
        </is>
      </c>
      <c r="H259" t="inlineStr">
        <is>
          <t>No</t>
        </is>
      </c>
      <c r="I259" t="inlineStr">
        <is>
          <t>No</t>
        </is>
      </c>
      <c r="J259" t="inlineStr">
        <is>
          <t>0</t>
        </is>
      </c>
      <c r="K259" t="inlineStr">
        <is>
          <t>Pratt, Richard, 1891-1973.</t>
        </is>
      </c>
      <c r="L259" t="inlineStr">
        <is>
          <t>New York, Whittlesey House [1949]</t>
        </is>
      </c>
      <c r="M259" t="inlineStr">
        <is>
          <t>1949</t>
        </is>
      </c>
      <c r="O259" t="inlineStr">
        <is>
          <t>eng</t>
        </is>
      </c>
      <c r="P259" t="inlineStr">
        <is>
          <t>nyu</t>
        </is>
      </c>
      <c r="R259" t="inlineStr">
        <is>
          <t xml:space="preserve">NA </t>
        </is>
      </c>
      <c r="S259" t="n">
        <v>2</v>
      </c>
      <c r="T259" t="n">
        <v>2</v>
      </c>
      <c r="U259" t="inlineStr">
        <is>
          <t>2005-01-31</t>
        </is>
      </c>
      <c r="V259" t="inlineStr">
        <is>
          <t>2005-01-31</t>
        </is>
      </c>
      <c r="W259" t="inlineStr">
        <is>
          <t>1997-07-02</t>
        </is>
      </c>
      <c r="X259" t="inlineStr">
        <is>
          <t>1997-07-02</t>
        </is>
      </c>
      <c r="Y259" t="n">
        <v>893</v>
      </c>
      <c r="Z259" t="n">
        <v>860</v>
      </c>
      <c r="AA259" t="n">
        <v>1241</v>
      </c>
      <c r="AB259" t="n">
        <v>7</v>
      </c>
      <c r="AC259" t="n">
        <v>11</v>
      </c>
      <c r="AD259" t="n">
        <v>24</v>
      </c>
      <c r="AE259" t="n">
        <v>29</v>
      </c>
      <c r="AF259" t="n">
        <v>10</v>
      </c>
      <c r="AG259" t="n">
        <v>13</v>
      </c>
      <c r="AH259" t="n">
        <v>4</v>
      </c>
      <c r="AI259" t="n">
        <v>5</v>
      </c>
      <c r="AJ259" t="n">
        <v>9</v>
      </c>
      <c r="AK259" t="n">
        <v>11</v>
      </c>
      <c r="AL259" t="n">
        <v>5</v>
      </c>
      <c r="AM259" t="n">
        <v>5</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HYPERLINK("https://creighton-primo.hosted.exlibrisgroup.com/primo-explore/search?tab=default_tab&amp;search_scope=EVERYTHING&amp;vid=01CRU&amp;lang=en_US&amp;offset=0&amp;query=any,contains,991002386139702656","Catalog Record")</f>
        <v/>
      </c>
      <c r="AT259">
        <f>HYPERLINK("http://www.worldcat.org/oclc/330133","WorldCat Record")</f>
        <v/>
      </c>
      <c r="AU259" t="inlineStr">
        <is>
          <t>1428021:eng</t>
        </is>
      </c>
      <c r="AV259" t="inlineStr">
        <is>
          <t>330133</t>
        </is>
      </c>
      <c r="AW259" t="inlineStr">
        <is>
          <t>991002386139702656</t>
        </is>
      </c>
      <c r="AX259" t="inlineStr">
        <is>
          <t>991002386139702656</t>
        </is>
      </c>
      <c r="AY259" t="inlineStr">
        <is>
          <t>2259079090002656</t>
        </is>
      </c>
      <c r="AZ259" t="inlineStr">
        <is>
          <t>BOOK</t>
        </is>
      </c>
      <c r="BC259" t="inlineStr">
        <is>
          <t>32285002863057</t>
        </is>
      </c>
      <c r="BD259" t="inlineStr">
        <is>
          <t>893415135</t>
        </is>
      </c>
    </row>
    <row r="260">
      <c r="A260" t="inlineStr">
        <is>
          <t>No</t>
        </is>
      </c>
      <c r="B260" t="inlineStr">
        <is>
          <t>NA7207 .O6 1987</t>
        </is>
      </c>
      <c r="C260" t="inlineStr">
        <is>
          <t>0                      NA 7207000O  6           1987</t>
        </is>
      </c>
      <c r="D260" t="inlineStr">
        <is>
          <t>The Opulent interiors of the Gilded Age : all 203 photographs from "Artistic houses" : with new text / by Arnold Lewis, James Turner, and Steven McQuillin.</t>
        </is>
      </c>
      <c r="F260" t="inlineStr">
        <is>
          <t>No</t>
        </is>
      </c>
      <c r="G260" t="inlineStr">
        <is>
          <t>1</t>
        </is>
      </c>
      <c r="H260" t="inlineStr">
        <is>
          <t>No</t>
        </is>
      </c>
      <c r="I260" t="inlineStr">
        <is>
          <t>No</t>
        </is>
      </c>
      <c r="J260" t="inlineStr">
        <is>
          <t>0</t>
        </is>
      </c>
      <c r="L260" t="inlineStr">
        <is>
          <t>New York : Dover, c1987.</t>
        </is>
      </c>
      <c r="M260" t="inlineStr">
        <is>
          <t>1987</t>
        </is>
      </c>
      <c r="O260" t="inlineStr">
        <is>
          <t>eng</t>
        </is>
      </c>
      <c r="P260" t="inlineStr">
        <is>
          <t>nyu</t>
        </is>
      </c>
      <c r="R260" t="inlineStr">
        <is>
          <t xml:space="preserve">NA </t>
        </is>
      </c>
      <c r="S260" t="n">
        <v>3</v>
      </c>
      <c r="T260" t="n">
        <v>3</v>
      </c>
      <c r="U260" t="inlineStr">
        <is>
          <t>2005-02-02</t>
        </is>
      </c>
      <c r="V260" t="inlineStr">
        <is>
          <t>2005-02-02</t>
        </is>
      </c>
      <c r="W260" t="inlineStr">
        <is>
          <t>1999-03-17</t>
        </is>
      </c>
      <c r="X260" t="inlineStr">
        <is>
          <t>1999-03-17</t>
        </is>
      </c>
      <c r="Y260" t="n">
        <v>374</v>
      </c>
      <c r="Z260" t="n">
        <v>339</v>
      </c>
      <c r="AA260" t="n">
        <v>414</v>
      </c>
      <c r="AB260" t="n">
        <v>1</v>
      </c>
      <c r="AC260" t="n">
        <v>2</v>
      </c>
      <c r="AD260" t="n">
        <v>11</v>
      </c>
      <c r="AE260" t="n">
        <v>13</v>
      </c>
      <c r="AF260" t="n">
        <v>6</v>
      </c>
      <c r="AG260" t="n">
        <v>7</v>
      </c>
      <c r="AH260" t="n">
        <v>3</v>
      </c>
      <c r="AI260" t="n">
        <v>4</v>
      </c>
      <c r="AJ260" t="n">
        <v>6</v>
      </c>
      <c r="AK260" t="n">
        <v>6</v>
      </c>
      <c r="AL260" t="n">
        <v>0</v>
      </c>
      <c r="AM260" t="n">
        <v>1</v>
      </c>
      <c r="AN260" t="n">
        <v>0</v>
      </c>
      <c r="AO260" t="n">
        <v>0</v>
      </c>
      <c r="AP260" t="inlineStr">
        <is>
          <t>No</t>
        </is>
      </c>
      <c r="AQ260" t="inlineStr">
        <is>
          <t>Yes</t>
        </is>
      </c>
      <c r="AR260">
        <f>HYPERLINK("http://catalog.hathitrust.org/Record/007559704","HathiTrust Record")</f>
        <v/>
      </c>
      <c r="AS260">
        <f>HYPERLINK("https://creighton-primo.hosted.exlibrisgroup.com/primo-explore/search?tab=default_tab&amp;search_scope=EVERYTHING&amp;vid=01CRU&amp;lang=en_US&amp;offset=0&amp;query=any,contains,991000915059702656","Catalog Record")</f>
        <v/>
      </c>
      <c r="AT260">
        <f>HYPERLINK("http://www.worldcat.org/oclc/14167164","WorldCat Record")</f>
        <v/>
      </c>
      <c r="AU260" t="inlineStr">
        <is>
          <t>836669640:eng</t>
        </is>
      </c>
      <c r="AV260" t="inlineStr">
        <is>
          <t>14167164</t>
        </is>
      </c>
      <c r="AW260" t="inlineStr">
        <is>
          <t>991000915059702656</t>
        </is>
      </c>
      <c r="AX260" t="inlineStr">
        <is>
          <t>991000915059702656</t>
        </is>
      </c>
      <c r="AY260" t="inlineStr">
        <is>
          <t>2267460220002656</t>
        </is>
      </c>
      <c r="AZ260" t="inlineStr">
        <is>
          <t>BOOK</t>
        </is>
      </c>
      <c r="BB260" t="inlineStr">
        <is>
          <t>9780486252506</t>
        </is>
      </c>
      <c r="BC260" t="inlineStr">
        <is>
          <t>32285003533725</t>
        </is>
      </c>
      <c r="BD260" t="inlineStr">
        <is>
          <t>893715008</t>
        </is>
      </c>
    </row>
    <row r="261">
      <c r="A261" t="inlineStr">
        <is>
          <t>No</t>
        </is>
      </c>
      <c r="B261" t="inlineStr">
        <is>
          <t>NA7210 .E18</t>
        </is>
      </c>
      <c r="C261" t="inlineStr">
        <is>
          <t>0                      NA 7210000E  18</t>
        </is>
      </c>
      <c r="D261" t="inlineStr">
        <is>
          <t>Early homes of New England : from material originally published as the White pine series of architectural monographs, edited by Russell F. Whitehead and Frank Chouteau Brown / prepared for this series by the staff of the Early American Society, Robert G. Miner, editor ... [et al.].</t>
        </is>
      </c>
      <c r="F261" t="inlineStr">
        <is>
          <t>No</t>
        </is>
      </c>
      <c r="G261" t="inlineStr">
        <is>
          <t>1</t>
        </is>
      </c>
      <c r="H261" t="inlineStr">
        <is>
          <t>No</t>
        </is>
      </c>
      <c r="I261" t="inlineStr">
        <is>
          <t>No</t>
        </is>
      </c>
      <c r="J261" t="inlineStr">
        <is>
          <t>0</t>
        </is>
      </c>
      <c r="L261" t="inlineStr">
        <is>
          <t>New York : Arno Press : distributed to the book trade by Crown Publishers, c1977.</t>
        </is>
      </c>
      <c r="M261" t="inlineStr">
        <is>
          <t>1977</t>
        </is>
      </c>
      <c r="O261" t="inlineStr">
        <is>
          <t>eng</t>
        </is>
      </c>
      <c r="P261" t="inlineStr">
        <is>
          <t>nyu</t>
        </is>
      </c>
      <c r="Q261" t="inlineStr">
        <is>
          <t>An Early American Society book</t>
        </is>
      </c>
      <c r="R261" t="inlineStr">
        <is>
          <t xml:space="preserve">NA </t>
        </is>
      </c>
      <c r="S261" t="n">
        <v>4</v>
      </c>
      <c r="T261" t="n">
        <v>4</v>
      </c>
      <c r="U261" t="inlineStr">
        <is>
          <t>1998-02-25</t>
        </is>
      </c>
      <c r="V261" t="inlineStr">
        <is>
          <t>1998-02-25</t>
        </is>
      </c>
      <c r="W261" t="inlineStr">
        <is>
          <t>1992-02-28</t>
        </is>
      </c>
      <c r="X261" t="inlineStr">
        <is>
          <t>1992-02-28</t>
        </is>
      </c>
      <c r="Y261" t="n">
        <v>483</v>
      </c>
      <c r="Z261" t="n">
        <v>466</v>
      </c>
      <c r="AA261" t="n">
        <v>470</v>
      </c>
      <c r="AB261" t="n">
        <v>2</v>
      </c>
      <c r="AC261" t="n">
        <v>2</v>
      </c>
      <c r="AD261" t="n">
        <v>12</v>
      </c>
      <c r="AE261" t="n">
        <v>12</v>
      </c>
      <c r="AF261" t="n">
        <v>5</v>
      </c>
      <c r="AG261" t="n">
        <v>5</v>
      </c>
      <c r="AH261" t="n">
        <v>3</v>
      </c>
      <c r="AI261" t="n">
        <v>3</v>
      </c>
      <c r="AJ261" t="n">
        <v>5</v>
      </c>
      <c r="AK261" t="n">
        <v>5</v>
      </c>
      <c r="AL261" t="n">
        <v>1</v>
      </c>
      <c r="AM261" t="n">
        <v>1</v>
      </c>
      <c r="AN261" t="n">
        <v>0</v>
      </c>
      <c r="AO261" t="n">
        <v>0</v>
      </c>
      <c r="AP261" t="inlineStr">
        <is>
          <t>No</t>
        </is>
      </c>
      <c r="AQ261" t="inlineStr">
        <is>
          <t>Yes</t>
        </is>
      </c>
      <c r="AR261">
        <f>HYPERLINK("http://catalog.hathitrust.org/Record/003559596","HathiTrust Record")</f>
        <v/>
      </c>
      <c r="AS261">
        <f>HYPERLINK("https://creighton-primo.hosted.exlibrisgroup.com/primo-explore/search?tab=default_tab&amp;search_scope=EVERYTHING&amp;vid=01CRU&amp;lang=en_US&amp;offset=0&amp;query=any,contains,991004393619702656","Catalog Record")</f>
        <v/>
      </c>
      <c r="AT261">
        <f>HYPERLINK("http://www.worldcat.org/oclc/3273935","WorldCat Record")</f>
        <v/>
      </c>
      <c r="AU261" t="inlineStr">
        <is>
          <t>424249835:eng</t>
        </is>
      </c>
      <c r="AV261" t="inlineStr">
        <is>
          <t>3273935</t>
        </is>
      </c>
      <c r="AW261" t="inlineStr">
        <is>
          <t>991004393619702656</t>
        </is>
      </c>
      <c r="AX261" t="inlineStr">
        <is>
          <t>991004393619702656</t>
        </is>
      </c>
      <c r="AY261" t="inlineStr">
        <is>
          <t>2263161470002656</t>
        </is>
      </c>
      <c r="AZ261" t="inlineStr">
        <is>
          <t>BOOK</t>
        </is>
      </c>
      <c r="BB261" t="inlineStr">
        <is>
          <t>9780405100680</t>
        </is>
      </c>
      <c r="BC261" t="inlineStr">
        <is>
          <t>32285000978816</t>
        </is>
      </c>
      <c r="BD261" t="inlineStr">
        <is>
          <t>893423740</t>
        </is>
      </c>
    </row>
    <row r="262">
      <c r="A262" t="inlineStr">
        <is>
          <t>No</t>
        </is>
      </c>
      <c r="B262" t="inlineStr">
        <is>
          <t>NA7211 .C7</t>
        </is>
      </c>
      <c r="C262" t="inlineStr">
        <is>
          <t>0                      NA 7211000C  7</t>
        </is>
      </c>
      <c r="D262" t="inlineStr">
        <is>
          <t>Colonial homes in the Southern States : from material originally published as the White pine series of architectural monographs, edited by Russell F. Whitehead and Frank Chouteau Brown / prepared for this series by the staff of the Early American Society, Robert G. Miner, editor ... [et al.].</t>
        </is>
      </c>
      <c r="F262" t="inlineStr">
        <is>
          <t>No</t>
        </is>
      </c>
      <c r="G262" t="inlineStr">
        <is>
          <t>1</t>
        </is>
      </c>
      <c r="H262" t="inlineStr">
        <is>
          <t>No</t>
        </is>
      </c>
      <c r="I262" t="inlineStr">
        <is>
          <t>No</t>
        </is>
      </c>
      <c r="J262" t="inlineStr">
        <is>
          <t>0</t>
        </is>
      </c>
      <c r="L262" t="inlineStr">
        <is>
          <t>New York : Arno Press : distributed to the book trade by Crown Publishers, c1977.</t>
        </is>
      </c>
      <c r="M262" t="inlineStr">
        <is>
          <t>1977</t>
        </is>
      </c>
      <c r="O262" t="inlineStr">
        <is>
          <t>eng</t>
        </is>
      </c>
      <c r="P262" t="inlineStr">
        <is>
          <t>nyu</t>
        </is>
      </c>
      <c r="Q262" t="inlineStr">
        <is>
          <t>An Early American Society book</t>
        </is>
      </c>
      <c r="R262" t="inlineStr">
        <is>
          <t xml:space="preserve">NA </t>
        </is>
      </c>
      <c r="S262" t="n">
        <v>6</v>
      </c>
      <c r="T262" t="n">
        <v>6</v>
      </c>
      <c r="U262" t="inlineStr">
        <is>
          <t>2000-03-20</t>
        </is>
      </c>
      <c r="V262" t="inlineStr">
        <is>
          <t>2000-03-20</t>
        </is>
      </c>
      <c r="W262" t="inlineStr">
        <is>
          <t>1992-04-03</t>
        </is>
      </c>
      <c r="X262" t="inlineStr">
        <is>
          <t>1992-04-03</t>
        </is>
      </c>
      <c r="Y262" t="n">
        <v>474</v>
      </c>
      <c r="Z262" t="n">
        <v>456</v>
      </c>
      <c r="AA262" t="n">
        <v>477</v>
      </c>
      <c r="AB262" t="n">
        <v>2</v>
      </c>
      <c r="AC262" t="n">
        <v>2</v>
      </c>
      <c r="AD262" t="n">
        <v>13</v>
      </c>
      <c r="AE262" t="n">
        <v>15</v>
      </c>
      <c r="AF262" t="n">
        <v>6</v>
      </c>
      <c r="AG262" t="n">
        <v>7</v>
      </c>
      <c r="AH262" t="n">
        <v>4</v>
      </c>
      <c r="AI262" t="n">
        <v>5</v>
      </c>
      <c r="AJ262" t="n">
        <v>5</v>
      </c>
      <c r="AK262" t="n">
        <v>5</v>
      </c>
      <c r="AL262" t="n">
        <v>1</v>
      </c>
      <c r="AM262" t="n">
        <v>1</v>
      </c>
      <c r="AN262" t="n">
        <v>0</v>
      </c>
      <c r="AO262" t="n">
        <v>0</v>
      </c>
      <c r="AP262" t="inlineStr">
        <is>
          <t>No</t>
        </is>
      </c>
      <c r="AQ262" t="inlineStr">
        <is>
          <t>Yes</t>
        </is>
      </c>
      <c r="AR262">
        <f>HYPERLINK("http://catalog.hathitrust.org/Record/002569779","HathiTrust Record")</f>
        <v/>
      </c>
      <c r="AS262">
        <f>HYPERLINK("https://creighton-primo.hosted.exlibrisgroup.com/primo-explore/search?tab=default_tab&amp;search_scope=EVERYTHING&amp;vid=01CRU&amp;lang=en_US&amp;offset=0&amp;query=any,contains,991004393749702656","Catalog Record")</f>
        <v/>
      </c>
      <c r="AT262">
        <f>HYPERLINK("http://www.worldcat.org/oclc/3273944","WorldCat Record")</f>
        <v/>
      </c>
      <c r="AU262" t="inlineStr">
        <is>
          <t>424249963:eng</t>
        </is>
      </c>
      <c r="AV262" t="inlineStr">
        <is>
          <t>3273944</t>
        </is>
      </c>
      <c r="AW262" t="inlineStr">
        <is>
          <t>991004393749702656</t>
        </is>
      </c>
      <c r="AX262" t="inlineStr">
        <is>
          <t>991004393749702656</t>
        </is>
      </c>
      <c r="AY262" t="inlineStr">
        <is>
          <t>2263178410002656</t>
        </is>
      </c>
      <c r="AZ262" t="inlineStr">
        <is>
          <t>BOOK</t>
        </is>
      </c>
      <c r="BB262" t="inlineStr">
        <is>
          <t>9780405100703</t>
        </is>
      </c>
      <c r="BC262" t="inlineStr">
        <is>
          <t>32285001033629</t>
        </is>
      </c>
      <c r="BD262" t="inlineStr">
        <is>
          <t>893788650</t>
        </is>
      </c>
    </row>
    <row r="263">
      <c r="A263" t="inlineStr">
        <is>
          <t>No</t>
        </is>
      </c>
      <c r="B263" t="inlineStr">
        <is>
          <t>NA722 .P72</t>
        </is>
      </c>
      <c r="C263" t="inlineStr">
        <is>
          <t>0                      NA 0722000P  72</t>
        </is>
      </c>
      <c r="D263" t="inlineStr">
        <is>
          <t>Prairie School architecture : studies from "The Western architect" / edited and introduced by H. Allen Brooks.</t>
        </is>
      </c>
      <c r="F263" t="inlineStr">
        <is>
          <t>No</t>
        </is>
      </c>
      <c r="G263" t="inlineStr">
        <is>
          <t>1</t>
        </is>
      </c>
      <c r="H263" t="inlineStr">
        <is>
          <t>No</t>
        </is>
      </c>
      <c r="I263" t="inlineStr">
        <is>
          <t>No</t>
        </is>
      </c>
      <c r="J263" t="inlineStr">
        <is>
          <t>0</t>
        </is>
      </c>
      <c r="L263" t="inlineStr">
        <is>
          <t>Toronto ; Buffalo : University of Toronto Press, [1975]</t>
        </is>
      </c>
      <c r="M263" t="inlineStr">
        <is>
          <t>1975</t>
        </is>
      </c>
      <c r="O263" t="inlineStr">
        <is>
          <t>eng</t>
        </is>
      </c>
      <c r="P263" t="inlineStr">
        <is>
          <t>onc</t>
        </is>
      </c>
      <c r="R263" t="inlineStr">
        <is>
          <t xml:space="preserve">NA </t>
        </is>
      </c>
      <c r="S263" t="n">
        <v>6</v>
      </c>
      <c r="T263" t="n">
        <v>6</v>
      </c>
      <c r="U263" t="inlineStr">
        <is>
          <t>2002-04-25</t>
        </is>
      </c>
      <c r="V263" t="inlineStr">
        <is>
          <t>2002-04-25</t>
        </is>
      </c>
      <c r="W263" t="inlineStr">
        <is>
          <t>1997-09-10</t>
        </is>
      </c>
      <c r="X263" t="inlineStr">
        <is>
          <t>1997-09-10</t>
        </is>
      </c>
      <c r="Y263" t="n">
        <v>415</v>
      </c>
      <c r="Z263" t="n">
        <v>336</v>
      </c>
      <c r="AA263" t="n">
        <v>401</v>
      </c>
      <c r="AB263" t="n">
        <v>2</v>
      </c>
      <c r="AC263" t="n">
        <v>2</v>
      </c>
      <c r="AD263" t="n">
        <v>11</v>
      </c>
      <c r="AE263" t="n">
        <v>12</v>
      </c>
      <c r="AF263" t="n">
        <v>3</v>
      </c>
      <c r="AG263" t="n">
        <v>4</v>
      </c>
      <c r="AH263" t="n">
        <v>4</v>
      </c>
      <c r="AI263" t="n">
        <v>4</v>
      </c>
      <c r="AJ263" t="n">
        <v>5</v>
      </c>
      <c r="AK263" t="n">
        <v>5</v>
      </c>
      <c r="AL263" t="n">
        <v>1</v>
      </c>
      <c r="AM263" t="n">
        <v>1</v>
      </c>
      <c r="AN263" t="n">
        <v>0</v>
      </c>
      <c r="AO263" t="n">
        <v>0</v>
      </c>
      <c r="AP263" t="inlineStr">
        <is>
          <t>No</t>
        </is>
      </c>
      <c r="AQ263" t="inlineStr">
        <is>
          <t>Yes</t>
        </is>
      </c>
      <c r="AR263">
        <f>HYPERLINK("http://catalog.hathitrust.org/Record/000018107","HathiTrust Record")</f>
        <v/>
      </c>
      <c r="AS263">
        <f>HYPERLINK("https://creighton-primo.hosted.exlibrisgroup.com/primo-explore/search?tab=default_tab&amp;search_scope=EVERYTHING&amp;vid=01CRU&amp;lang=en_US&amp;offset=0&amp;query=any,contains,991003804849702656","Catalog Record")</f>
        <v/>
      </c>
      <c r="AT263">
        <f>HYPERLINK("http://www.worldcat.org/oclc/1530383","WorldCat Record")</f>
        <v/>
      </c>
      <c r="AU263" t="inlineStr">
        <is>
          <t>2863585125:eng</t>
        </is>
      </c>
      <c r="AV263" t="inlineStr">
        <is>
          <t>1530383</t>
        </is>
      </c>
      <c r="AW263" t="inlineStr">
        <is>
          <t>991003804849702656</t>
        </is>
      </c>
      <c r="AX263" t="inlineStr">
        <is>
          <t>991003804849702656</t>
        </is>
      </c>
      <c r="AY263" t="inlineStr">
        <is>
          <t>2269642220002656</t>
        </is>
      </c>
      <c r="AZ263" t="inlineStr">
        <is>
          <t>BOOK</t>
        </is>
      </c>
      <c r="BB263" t="inlineStr">
        <is>
          <t>9780802021380</t>
        </is>
      </c>
      <c r="BC263" t="inlineStr">
        <is>
          <t>32285003170189</t>
        </is>
      </c>
      <c r="BD263" t="inlineStr">
        <is>
          <t>893875213</t>
        </is>
      </c>
    </row>
    <row r="264">
      <c r="A264" t="inlineStr">
        <is>
          <t>No</t>
        </is>
      </c>
      <c r="B264" t="inlineStr">
        <is>
          <t>NA7235.M4 E18</t>
        </is>
      </c>
      <c r="C264" t="inlineStr">
        <is>
          <t>0                      NA 7235000M  4                  E  18</t>
        </is>
      </c>
      <c r="D264" t="inlineStr">
        <is>
          <t>Early homes of Massachusetts : from material originally published as the White pine series of architectural monographs, edited by Russell F. Whitehead and Frank Chouteau Brown / prepared for this series by the staff of the Early American Society, Robert G. Miner, editor ... [et al.].</t>
        </is>
      </c>
      <c r="F264" t="inlineStr">
        <is>
          <t>No</t>
        </is>
      </c>
      <c r="G264" t="inlineStr">
        <is>
          <t>1</t>
        </is>
      </c>
      <c r="H264" t="inlineStr">
        <is>
          <t>No</t>
        </is>
      </c>
      <c r="I264" t="inlineStr">
        <is>
          <t>No</t>
        </is>
      </c>
      <c r="J264" t="inlineStr">
        <is>
          <t>0</t>
        </is>
      </c>
      <c r="L264" t="inlineStr">
        <is>
          <t>New York : Arno Press : distributed to the book trade by Crown Publishers, c1977.</t>
        </is>
      </c>
      <c r="M264" t="inlineStr">
        <is>
          <t>1977</t>
        </is>
      </c>
      <c r="O264" t="inlineStr">
        <is>
          <t>eng</t>
        </is>
      </c>
      <c r="P264" t="inlineStr">
        <is>
          <t>nyu</t>
        </is>
      </c>
      <c r="Q264" t="inlineStr">
        <is>
          <t>An Early American Society book</t>
        </is>
      </c>
      <c r="R264" t="inlineStr">
        <is>
          <t xml:space="preserve">NA </t>
        </is>
      </c>
      <c r="S264" t="n">
        <v>3</v>
      </c>
      <c r="T264" t="n">
        <v>3</v>
      </c>
      <c r="U264" t="inlineStr">
        <is>
          <t>1998-02-25</t>
        </is>
      </c>
      <c r="V264" t="inlineStr">
        <is>
          <t>1998-02-25</t>
        </is>
      </c>
      <c r="W264" t="inlineStr">
        <is>
          <t>1992-04-03</t>
        </is>
      </c>
      <c r="X264" t="inlineStr">
        <is>
          <t>1992-04-03</t>
        </is>
      </c>
      <c r="Y264" t="n">
        <v>525</v>
      </c>
      <c r="Z264" t="n">
        <v>511</v>
      </c>
      <c r="AA264" t="n">
        <v>523</v>
      </c>
      <c r="AB264" t="n">
        <v>2</v>
      </c>
      <c r="AC264" t="n">
        <v>2</v>
      </c>
      <c r="AD264" t="n">
        <v>12</v>
      </c>
      <c r="AE264" t="n">
        <v>12</v>
      </c>
      <c r="AF264" t="n">
        <v>4</v>
      </c>
      <c r="AG264" t="n">
        <v>4</v>
      </c>
      <c r="AH264" t="n">
        <v>3</v>
      </c>
      <c r="AI264" t="n">
        <v>3</v>
      </c>
      <c r="AJ264" t="n">
        <v>6</v>
      </c>
      <c r="AK264" t="n">
        <v>6</v>
      </c>
      <c r="AL264" t="n">
        <v>1</v>
      </c>
      <c r="AM264" t="n">
        <v>1</v>
      </c>
      <c r="AN264" t="n">
        <v>0</v>
      </c>
      <c r="AO264" t="n">
        <v>0</v>
      </c>
      <c r="AP264" t="inlineStr">
        <is>
          <t>No</t>
        </is>
      </c>
      <c r="AQ264" t="inlineStr">
        <is>
          <t>Yes</t>
        </is>
      </c>
      <c r="AR264">
        <f>HYPERLINK("http://catalog.hathitrust.org/Record/003559600","HathiTrust Record")</f>
        <v/>
      </c>
      <c r="AS264">
        <f>HYPERLINK("https://creighton-primo.hosted.exlibrisgroup.com/primo-explore/search?tab=default_tab&amp;search_scope=EVERYTHING&amp;vid=01CRU&amp;lang=en_US&amp;offset=0&amp;query=any,contains,991004395379702656","Catalog Record")</f>
        <v/>
      </c>
      <c r="AT264">
        <f>HYPERLINK("http://www.worldcat.org/oclc/3275736","WorldCat Record")</f>
        <v/>
      </c>
      <c r="AU264" t="inlineStr">
        <is>
          <t>424271503:eng</t>
        </is>
      </c>
      <c r="AV264" t="inlineStr">
        <is>
          <t>3275736</t>
        </is>
      </c>
      <c r="AW264" t="inlineStr">
        <is>
          <t>991004395379702656</t>
        </is>
      </c>
      <c r="AX264" t="inlineStr">
        <is>
          <t>991004395379702656</t>
        </is>
      </c>
      <c r="AY264" t="inlineStr">
        <is>
          <t>2257131820002656</t>
        </is>
      </c>
      <c r="AZ264" t="inlineStr">
        <is>
          <t>BOOK</t>
        </is>
      </c>
      <c r="BB264" t="inlineStr">
        <is>
          <t>9780405100642</t>
        </is>
      </c>
      <c r="BC264" t="inlineStr">
        <is>
          <t>32285001033611</t>
        </is>
      </c>
      <c r="BD264" t="inlineStr">
        <is>
          <t>893331542</t>
        </is>
      </c>
    </row>
    <row r="265">
      <c r="A265" t="inlineStr">
        <is>
          <t>No</t>
        </is>
      </c>
      <c r="B265" t="inlineStr">
        <is>
          <t>NA7235.N7 E18</t>
        </is>
      </c>
      <c r="C265" t="inlineStr">
        <is>
          <t>0                      NA 7235000N  7                  E  18</t>
        </is>
      </c>
      <c r="D265" t="inlineStr">
        <is>
          <t>Early homes of New York and the Mid-Atlantic States : from material originally published as the White pine series of architectural monographs, edited by Russell F. Whitehead and Frank Chouteau Brown / prepared for this series by the staff of the Early American Society, Robert G. Miner, editor ... [et al.].</t>
        </is>
      </c>
      <c r="F265" t="inlineStr">
        <is>
          <t>No</t>
        </is>
      </c>
      <c r="G265" t="inlineStr">
        <is>
          <t>1</t>
        </is>
      </c>
      <c r="H265" t="inlineStr">
        <is>
          <t>No</t>
        </is>
      </c>
      <c r="I265" t="inlineStr">
        <is>
          <t>No</t>
        </is>
      </c>
      <c r="J265" t="inlineStr">
        <is>
          <t>0</t>
        </is>
      </c>
      <c r="L265" t="inlineStr">
        <is>
          <t>New York : Arno Press : distributed to the book trade by Crown Publishers, c1977.</t>
        </is>
      </c>
      <c r="M265" t="inlineStr">
        <is>
          <t>1977</t>
        </is>
      </c>
      <c r="O265" t="inlineStr">
        <is>
          <t>eng</t>
        </is>
      </c>
      <c r="P265" t="inlineStr">
        <is>
          <t>nyu</t>
        </is>
      </c>
      <c r="Q265" t="inlineStr">
        <is>
          <t>An Early American Society book</t>
        </is>
      </c>
      <c r="R265" t="inlineStr">
        <is>
          <t xml:space="preserve">NA </t>
        </is>
      </c>
      <c r="S265" t="n">
        <v>4</v>
      </c>
      <c r="T265" t="n">
        <v>4</v>
      </c>
      <c r="U265" t="inlineStr">
        <is>
          <t>1998-02-25</t>
        </is>
      </c>
      <c r="V265" t="inlineStr">
        <is>
          <t>1998-02-25</t>
        </is>
      </c>
      <c r="W265" t="inlineStr">
        <is>
          <t>1992-04-03</t>
        </is>
      </c>
      <c r="X265" t="inlineStr">
        <is>
          <t>1992-04-03</t>
        </is>
      </c>
      <c r="Y265" t="n">
        <v>471</v>
      </c>
      <c r="Z265" t="n">
        <v>457</v>
      </c>
      <c r="AA265" t="n">
        <v>460</v>
      </c>
      <c r="AB265" t="n">
        <v>1</v>
      </c>
      <c r="AC265" t="n">
        <v>1</v>
      </c>
      <c r="AD265" t="n">
        <v>10</v>
      </c>
      <c r="AE265" t="n">
        <v>10</v>
      </c>
      <c r="AF265" t="n">
        <v>3</v>
      </c>
      <c r="AG265" t="n">
        <v>3</v>
      </c>
      <c r="AH265" t="n">
        <v>4</v>
      </c>
      <c r="AI265" t="n">
        <v>4</v>
      </c>
      <c r="AJ265" t="n">
        <v>5</v>
      </c>
      <c r="AK265" t="n">
        <v>5</v>
      </c>
      <c r="AL265" t="n">
        <v>0</v>
      </c>
      <c r="AM265" t="n">
        <v>0</v>
      </c>
      <c r="AN265" t="n">
        <v>0</v>
      </c>
      <c r="AO265" t="n">
        <v>0</v>
      </c>
      <c r="AP265" t="inlineStr">
        <is>
          <t>No</t>
        </is>
      </c>
      <c r="AQ265" t="inlineStr">
        <is>
          <t>Yes</t>
        </is>
      </c>
      <c r="AR265">
        <f>HYPERLINK("http://catalog.hathitrust.org/Record/003559598","HathiTrust Record")</f>
        <v/>
      </c>
      <c r="AS265">
        <f>HYPERLINK("https://creighton-primo.hosted.exlibrisgroup.com/primo-explore/search?tab=default_tab&amp;search_scope=EVERYTHING&amp;vid=01CRU&amp;lang=en_US&amp;offset=0&amp;query=any,contains,991004393689702656","Catalog Record")</f>
        <v/>
      </c>
      <c r="AT265">
        <f>HYPERLINK("http://www.worldcat.org/oclc/3273940","WorldCat Record")</f>
        <v/>
      </c>
      <c r="AU265" t="inlineStr">
        <is>
          <t>5612061527:eng</t>
        </is>
      </c>
      <c r="AV265" t="inlineStr">
        <is>
          <t>3273940</t>
        </is>
      </c>
      <c r="AW265" t="inlineStr">
        <is>
          <t>991004393689702656</t>
        </is>
      </c>
      <c r="AX265" t="inlineStr">
        <is>
          <t>991004393689702656</t>
        </is>
      </c>
      <c r="AY265" t="inlineStr">
        <is>
          <t>2263177270002656</t>
        </is>
      </c>
      <c r="AZ265" t="inlineStr">
        <is>
          <t>BOOK</t>
        </is>
      </c>
      <c r="BB265" t="inlineStr">
        <is>
          <t>9780405100697</t>
        </is>
      </c>
      <c r="BC265" t="inlineStr">
        <is>
          <t>32285001033603</t>
        </is>
      </c>
      <c r="BD265" t="inlineStr">
        <is>
          <t>893337673</t>
        </is>
      </c>
    </row>
    <row r="266">
      <c r="A266" t="inlineStr">
        <is>
          <t>No</t>
        </is>
      </c>
      <c r="B266" t="inlineStr">
        <is>
          <t>NA7235.R4 E18</t>
        </is>
      </c>
      <c r="C266" t="inlineStr">
        <is>
          <t>0                      NA 7235000R  4                  E  18</t>
        </is>
      </c>
      <c r="D266" t="inlineStr">
        <is>
          <t>Early homes of Rhode Island : from material originally published as the White pine series of architectural monographs, edited by Russell F. Whitehead and Frank Chouteau Brown / prepared for this series by the staff of the Early American Society, Robert G. Miner, editor ... [et al.].</t>
        </is>
      </c>
      <c r="F266" t="inlineStr">
        <is>
          <t>No</t>
        </is>
      </c>
      <c r="G266" t="inlineStr">
        <is>
          <t>1</t>
        </is>
      </c>
      <c r="H266" t="inlineStr">
        <is>
          <t>No</t>
        </is>
      </c>
      <c r="I266" t="inlineStr">
        <is>
          <t>No</t>
        </is>
      </c>
      <c r="J266" t="inlineStr">
        <is>
          <t>0</t>
        </is>
      </c>
      <c r="L266" t="inlineStr">
        <is>
          <t>New York : Arno Press : distributed to the book trade by Crown Publishers, c1977.</t>
        </is>
      </c>
      <c r="M266" t="inlineStr">
        <is>
          <t>1977</t>
        </is>
      </c>
      <c r="O266" t="inlineStr">
        <is>
          <t>eng</t>
        </is>
      </c>
      <c r="P266" t="inlineStr">
        <is>
          <t>nyu</t>
        </is>
      </c>
      <c r="Q266" t="inlineStr">
        <is>
          <t>An Early American Society book</t>
        </is>
      </c>
      <c r="R266" t="inlineStr">
        <is>
          <t xml:space="preserve">NA </t>
        </is>
      </c>
      <c r="S266" t="n">
        <v>3</v>
      </c>
      <c r="T266" t="n">
        <v>3</v>
      </c>
      <c r="U266" t="inlineStr">
        <is>
          <t>1998-02-25</t>
        </is>
      </c>
      <c r="V266" t="inlineStr">
        <is>
          <t>1998-02-25</t>
        </is>
      </c>
      <c r="W266" t="inlineStr">
        <is>
          <t>1992-02-26</t>
        </is>
      </c>
      <c r="X266" t="inlineStr">
        <is>
          <t>1992-02-26</t>
        </is>
      </c>
      <c r="Y266" t="n">
        <v>445</v>
      </c>
      <c r="Z266" t="n">
        <v>430</v>
      </c>
      <c r="AA266" t="n">
        <v>437</v>
      </c>
      <c r="AB266" t="n">
        <v>2</v>
      </c>
      <c r="AC266" t="n">
        <v>2</v>
      </c>
      <c r="AD266" t="n">
        <v>13</v>
      </c>
      <c r="AE266" t="n">
        <v>13</v>
      </c>
      <c r="AF266" t="n">
        <v>7</v>
      </c>
      <c r="AG266" t="n">
        <v>7</v>
      </c>
      <c r="AH266" t="n">
        <v>4</v>
      </c>
      <c r="AI266" t="n">
        <v>4</v>
      </c>
      <c r="AJ266" t="n">
        <v>4</v>
      </c>
      <c r="AK266" t="n">
        <v>4</v>
      </c>
      <c r="AL266" t="n">
        <v>1</v>
      </c>
      <c r="AM266" t="n">
        <v>1</v>
      </c>
      <c r="AN266" t="n">
        <v>0</v>
      </c>
      <c r="AO266" t="n">
        <v>0</v>
      </c>
      <c r="AP266" t="inlineStr">
        <is>
          <t>No</t>
        </is>
      </c>
      <c r="AQ266" t="inlineStr">
        <is>
          <t>Yes</t>
        </is>
      </c>
      <c r="AR266">
        <f>HYPERLINK("http://catalog.hathitrust.org/Record/003559595","HathiTrust Record")</f>
        <v/>
      </c>
      <c r="AS266">
        <f>HYPERLINK("https://creighton-primo.hosted.exlibrisgroup.com/primo-explore/search?tab=default_tab&amp;search_scope=EVERYTHING&amp;vid=01CRU&amp;lang=en_US&amp;offset=0&amp;query=any,contains,991004393589702656","Catalog Record")</f>
        <v/>
      </c>
      <c r="AT266">
        <f>HYPERLINK("http://www.worldcat.org/oclc/3273932","WorldCat Record")</f>
        <v/>
      </c>
      <c r="AU266" t="inlineStr">
        <is>
          <t>982124693:eng</t>
        </is>
      </c>
      <c r="AV266" t="inlineStr">
        <is>
          <t>3273932</t>
        </is>
      </c>
      <c r="AW266" t="inlineStr">
        <is>
          <t>991004393589702656</t>
        </is>
      </c>
      <c r="AX266" t="inlineStr">
        <is>
          <t>991004393589702656</t>
        </is>
      </c>
      <c r="AY266" t="inlineStr">
        <is>
          <t>2263179400002656</t>
        </is>
      </c>
      <c r="AZ266" t="inlineStr">
        <is>
          <t>BOOK</t>
        </is>
      </c>
      <c r="BB266" t="inlineStr">
        <is>
          <t>9780405100673</t>
        </is>
      </c>
      <c r="BC266" t="inlineStr">
        <is>
          <t>32285000974245</t>
        </is>
      </c>
      <c r="BD266" t="inlineStr">
        <is>
          <t>893436237</t>
        </is>
      </c>
    </row>
    <row r="267">
      <c r="A267" t="inlineStr">
        <is>
          <t>No</t>
        </is>
      </c>
      <c r="B267" t="inlineStr">
        <is>
          <t>NA7238.C4 W74</t>
        </is>
      </c>
      <c r="C267" t="inlineStr">
        <is>
          <t>0                      NA 7238000C  4                  W  74</t>
        </is>
      </c>
      <c r="D267" t="inlineStr">
        <is>
          <t>Moralism and the model home : domestic architecture and cultural conflict in Chicago, 1873-1913 / Gwendolyn Wright.</t>
        </is>
      </c>
      <c r="F267" t="inlineStr">
        <is>
          <t>No</t>
        </is>
      </c>
      <c r="G267" t="inlineStr">
        <is>
          <t>1</t>
        </is>
      </c>
      <c r="H267" t="inlineStr">
        <is>
          <t>No</t>
        </is>
      </c>
      <c r="I267" t="inlineStr">
        <is>
          <t>No</t>
        </is>
      </c>
      <c r="J267" t="inlineStr">
        <is>
          <t>0</t>
        </is>
      </c>
      <c r="K267" t="inlineStr">
        <is>
          <t>Wright, Gwendolyn.</t>
        </is>
      </c>
      <c r="L267" t="inlineStr">
        <is>
          <t>Chicago : University of Chicago Press, c1980.</t>
        </is>
      </c>
      <c r="M267" t="inlineStr">
        <is>
          <t>1980</t>
        </is>
      </c>
      <c r="O267" t="inlineStr">
        <is>
          <t>eng</t>
        </is>
      </c>
      <c r="P267" t="inlineStr">
        <is>
          <t>ilu</t>
        </is>
      </c>
      <c r="R267" t="inlineStr">
        <is>
          <t xml:space="preserve">NA </t>
        </is>
      </c>
      <c r="S267" t="n">
        <v>3</v>
      </c>
      <c r="T267" t="n">
        <v>3</v>
      </c>
      <c r="U267" t="inlineStr">
        <is>
          <t>1998-04-15</t>
        </is>
      </c>
      <c r="V267" t="inlineStr">
        <is>
          <t>1998-04-15</t>
        </is>
      </c>
      <c r="W267" t="inlineStr">
        <is>
          <t>1993-01-13</t>
        </is>
      </c>
      <c r="X267" t="inlineStr">
        <is>
          <t>1993-01-13</t>
        </is>
      </c>
      <c r="Y267" t="n">
        <v>664</v>
      </c>
      <c r="Z267" t="n">
        <v>541</v>
      </c>
      <c r="AA267" t="n">
        <v>566</v>
      </c>
      <c r="AB267" t="n">
        <v>3</v>
      </c>
      <c r="AC267" t="n">
        <v>3</v>
      </c>
      <c r="AD267" t="n">
        <v>21</v>
      </c>
      <c r="AE267" t="n">
        <v>23</v>
      </c>
      <c r="AF267" t="n">
        <v>8</v>
      </c>
      <c r="AG267" t="n">
        <v>9</v>
      </c>
      <c r="AH267" t="n">
        <v>4</v>
      </c>
      <c r="AI267" t="n">
        <v>4</v>
      </c>
      <c r="AJ267" t="n">
        <v>13</v>
      </c>
      <c r="AK267" t="n">
        <v>14</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HYPERLINK("https://creighton-primo.hosted.exlibrisgroup.com/primo-explore/search?tab=default_tab&amp;search_scope=EVERYTHING&amp;vid=01CRU&amp;lang=en_US&amp;offset=0&amp;query=any,contains,991004883699702656","Catalog Record")</f>
        <v/>
      </c>
      <c r="AT267">
        <f>HYPERLINK("http://www.worldcat.org/oclc/5830516","WorldCat Record")</f>
        <v/>
      </c>
      <c r="AU267" t="inlineStr">
        <is>
          <t>419566:eng</t>
        </is>
      </c>
      <c r="AV267" t="inlineStr">
        <is>
          <t>5830516</t>
        </is>
      </c>
      <c r="AW267" t="inlineStr">
        <is>
          <t>991004883699702656</t>
        </is>
      </c>
      <c r="AX267" t="inlineStr">
        <is>
          <t>991004883699702656</t>
        </is>
      </c>
      <c r="AY267" t="inlineStr">
        <is>
          <t>2260687980002656</t>
        </is>
      </c>
      <c r="AZ267" t="inlineStr">
        <is>
          <t>BOOK</t>
        </is>
      </c>
      <c r="BB267" t="inlineStr">
        <is>
          <t>9780226908359</t>
        </is>
      </c>
      <c r="BC267" t="inlineStr">
        <is>
          <t>32285001488658</t>
        </is>
      </c>
      <c r="BD267" t="inlineStr">
        <is>
          <t>893612873</t>
        </is>
      </c>
    </row>
    <row r="268">
      <c r="A268" t="inlineStr">
        <is>
          <t>No</t>
        </is>
      </c>
      <c r="B268" t="inlineStr">
        <is>
          <t>NA7238.L89 J42</t>
        </is>
      </c>
      <c r="C268" t="inlineStr">
        <is>
          <t>0                      NA 7238000L  89                 J  42</t>
        </is>
      </c>
      <c r="D268" t="inlineStr">
        <is>
          <t>Daydream houses of Los Angeles / Charles Jencks.</t>
        </is>
      </c>
      <c r="F268" t="inlineStr">
        <is>
          <t>No</t>
        </is>
      </c>
      <c r="G268" t="inlineStr">
        <is>
          <t>1</t>
        </is>
      </c>
      <c r="H268" t="inlineStr">
        <is>
          <t>No</t>
        </is>
      </c>
      <c r="I268" t="inlineStr">
        <is>
          <t>No</t>
        </is>
      </c>
      <c r="J268" t="inlineStr">
        <is>
          <t>0</t>
        </is>
      </c>
      <c r="K268" t="inlineStr">
        <is>
          <t>Jencks, Charles.</t>
        </is>
      </c>
      <c r="L268" t="inlineStr">
        <is>
          <t>New York : Rizzoli, 1978.</t>
        </is>
      </c>
      <c r="M268" t="inlineStr">
        <is>
          <t>1978</t>
        </is>
      </c>
      <c r="O268" t="inlineStr">
        <is>
          <t>eng</t>
        </is>
      </c>
      <c r="P268" t="inlineStr">
        <is>
          <t>cau</t>
        </is>
      </c>
      <c r="R268" t="inlineStr">
        <is>
          <t xml:space="preserve">NA </t>
        </is>
      </c>
      <c r="S268" t="n">
        <v>4</v>
      </c>
      <c r="T268" t="n">
        <v>4</v>
      </c>
      <c r="U268" t="inlineStr">
        <is>
          <t>1996-04-13</t>
        </is>
      </c>
      <c r="V268" t="inlineStr">
        <is>
          <t>1996-04-13</t>
        </is>
      </c>
      <c r="W268" t="inlineStr">
        <is>
          <t>1993-04-07</t>
        </is>
      </c>
      <c r="X268" t="inlineStr">
        <is>
          <t>1993-04-07</t>
        </is>
      </c>
      <c r="Y268" t="n">
        <v>307</v>
      </c>
      <c r="Z268" t="n">
        <v>277</v>
      </c>
      <c r="AA268" t="n">
        <v>297</v>
      </c>
      <c r="AB268" t="n">
        <v>2</v>
      </c>
      <c r="AC268" t="n">
        <v>2</v>
      </c>
      <c r="AD268" t="n">
        <v>6</v>
      </c>
      <c r="AE268" t="n">
        <v>6</v>
      </c>
      <c r="AF268" t="n">
        <v>3</v>
      </c>
      <c r="AG268" t="n">
        <v>3</v>
      </c>
      <c r="AH268" t="n">
        <v>1</v>
      </c>
      <c r="AI268" t="n">
        <v>1</v>
      </c>
      <c r="AJ268" t="n">
        <v>2</v>
      </c>
      <c r="AK268" t="n">
        <v>2</v>
      </c>
      <c r="AL268" t="n">
        <v>1</v>
      </c>
      <c r="AM268" t="n">
        <v>1</v>
      </c>
      <c r="AN268" t="n">
        <v>0</v>
      </c>
      <c r="AO268" t="n">
        <v>0</v>
      </c>
      <c r="AP268" t="inlineStr">
        <is>
          <t>No</t>
        </is>
      </c>
      <c r="AQ268" t="inlineStr">
        <is>
          <t>Yes</t>
        </is>
      </c>
      <c r="AR268">
        <f>HYPERLINK("http://catalog.hathitrust.org/Record/000258495","HathiTrust Record")</f>
        <v/>
      </c>
      <c r="AS268">
        <f>HYPERLINK("https://creighton-primo.hosted.exlibrisgroup.com/primo-explore/search?tab=default_tab&amp;search_scope=EVERYTHING&amp;vid=01CRU&amp;lang=en_US&amp;offset=0&amp;query=any,contains,991004680059702656","Catalog Record")</f>
        <v/>
      </c>
      <c r="AT268">
        <f>HYPERLINK("http://www.worldcat.org/oclc/4560059","WorldCat Record")</f>
        <v/>
      </c>
      <c r="AU268" t="inlineStr">
        <is>
          <t>14809883:eng</t>
        </is>
      </c>
      <c r="AV268" t="inlineStr">
        <is>
          <t>4560059</t>
        </is>
      </c>
      <c r="AW268" t="inlineStr">
        <is>
          <t>991004680059702656</t>
        </is>
      </c>
      <c r="AX268" t="inlineStr">
        <is>
          <t>991004680059702656</t>
        </is>
      </c>
      <c r="AY268" t="inlineStr">
        <is>
          <t>2261486560002656</t>
        </is>
      </c>
      <c r="AZ268" t="inlineStr">
        <is>
          <t>BOOK</t>
        </is>
      </c>
      <c r="BB268" t="inlineStr">
        <is>
          <t>9780847801770</t>
        </is>
      </c>
      <c r="BC268" t="inlineStr">
        <is>
          <t>32285001603975</t>
        </is>
      </c>
      <c r="BD268" t="inlineStr">
        <is>
          <t>893776308</t>
        </is>
      </c>
    </row>
    <row r="269">
      <c r="A269" t="inlineStr">
        <is>
          <t>No</t>
        </is>
      </c>
      <c r="B269" t="inlineStr">
        <is>
          <t>NA730.M4 A72</t>
        </is>
      </c>
      <c r="C269" t="inlineStr">
        <is>
          <t>0                      NA 0730000M  4                  A  72</t>
        </is>
      </c>
      <c r="D269" t="inlineStr">
        <is>
          <t>Architecture in colonial Massachusetts : a conference held by the Colonial Society of Massachusetts, September 19 and 20, 1974.</t>
        </is>
      </c>
      <c r="F269" t="inlineStr">
        <is>
          <t>No</t>
        </is>
      </c>
      <c r="G269" t="inlineStr">
        <is>
          <t>1</t>
        </is>
      </c>
      <c r="H269" t="inlineStr">
        <is>
          <t>No</t>
        </is>
      </c>
      <c r="I269" t="inlineStr">
        <is>
          <t>No</t>
        </is>
      </c>
      <c r="J269" t="inlineStr">
        <is>
          <t>0</t>
        </is>
      </c>
      <c r="L269" t="inlineStr">
        <is>
          <t>Boston : The Society ; [Charlottesville] : distributed by the University Press of Virginia, 1979.</t>
        </is>
      </c>
      <c r="M269" t="inlineStr">
        <is>
          <t>1979</t>
        </is>
      </c>
      <c r="O269" t="inlineStr">
        <is>
          <t>eng</t>
        </is>
      </c>
      <c r="P269" t="inlineStr">
        <is>
          <t>mau</t>
        </is>
      </c>
      <c r="Q269" t="inlineStr">
        <is>
          <t>Publications of the Colonial Society of Massachusetts ; v. 51</t>
        </is>
      </c>
      <c r="R269" t="inlineStr">
        <is>
          <t xml:space="preserve">NA </t>
        </is>
      </c>
      <c r="S269" t="n">
        <v>2</v>
      </c>
      <c r="T269" t="n">
        <v>2</v>
      </c>
      <c r="U269" t="inlineStr">
        <is>
          <t>1998-02-25</t>
        </is>
      </c>
      <c r="V269" t="inlineStr">
        <is>
          <t>1998-02-25</t>
        </is>
      </c>
      <c r="W269" t="inlineStr">
        <is>
          <t>1993-05-13</t>
        </is>
      </c>
      <c r="X269" t="inlineStr">
        <is>
          <t>1993-05-13</t>
        </is>
      </c>
      <c r="Y269" t="n">
        <v>370</v>
      </c>
      <c r="Z269" t="n">
        <v>343</v>
      </c>
      <c r="AA269" t="n">
        <v>347</v>
      </c>
      <c r="AB269" t="n">
        <v>2</v>
      </c>
      <c r="AC269" t="n">
        <v>2</v>
      </c>
      <c r="AD269" t="n">
        <v>13</v>
      </c>
      <c r="AE269" t="n">
        <v>13</v>
      </c>
      <c r="AF269" t="n">
        <v>2</v>
      </c>
      <c r="AG269" t="n">
        <v>2</v>
      </c>
      <c r="AH269" t="n">
        <v>4</v>
      </c>
      <c r="AI269" t="n">
        <v>4</v>
      </c>
      <c r="AJ269" t="n">
        <v>6</v>
      </c>
      <c r="AK269" t="n">
        <v>6</v>
      </c>
      <c r="AL269" t="n">
        <v>1</v>
      </c>
      <c r="AM269" t="n">
        <v>1</v>
      </c>
      <c r="AN269" t="n">
        <v>1</v>
      </c>
      <c r="AO269" t="n">
        <v>1</v>
      </c>
      <c r="AP269" t="inlineStr">
        <is>
          <t>No</t>
        </is>
      </c>
      <c r="AQ269" t="inlineStr">
        <is>
          <t>Yes</t>
        </is>
      </c>
      <c r="AR269">
        <f>HYPERLINK("http://catalog.hathitrust.org/Record/000147502","HathiTrust Record")</f>
        <v/>
      </c>
      <c r="AS269">
        <f>HYPERLINK("https://creighton-primo.hosted.exlibrisgroup.com/primo-explore/search?tab=default_tab&amp;search_scope=EVERYTHING&amp;vid=01CRU&amp;lang=en_US&amp;offset=0&amp;query=any,contains,991004823889702656","Catalog Record")</f>
        <v/>
      </c>
      <c r="AT269">
        <f>HYPERLINK("http://www.worldcat.org/oclc/5348616","WorldCat Record")</f>
        <v/>
      </c>
      <c r="AU269" t="inlineStr">
        <is>
          <t>475513:eng</t>
        </is>
      </c>
      <c r="AV269" t="inlineStr">
        <is>
          <t>5348616</t>
        </is>
      </c>
      <c r="AW269" t="inlineStr">
        <is>
          <t>991004823889702656</t>
        </is>
      </c>
      <c r="AX269" t="inlineStr">
        <is>
          <t>991004823889702656</t>
        </is>
      </c>
      <c r="AY269" t="inlineStr">
        <is>
          <t>2262280790002656</t>
        </is>
      </c>
      <c r="AZ269" t="inlineStr">
        <is>
          <t>BOOK</t>
        </is>
      </c>
      <c r="BC269" t="inlineStr">
        <is>
          <t>32285001654515</t>
        </is>
      </c>
      <c r="BD269" t="inlineStr">
        <is>
          <t>893254142</t>
        </is>
      </c>
    </row>
    <row r="270">
      <c r="A270" t="inlineStr">
        <is>
          <t>No</t>
        </is>
      </c>
      <c r="B270" t="inlineStr">
        <is>
          <t>NA730.M4 C68</t>
        </is>
      </c>
      <c r="C270" t="inlineStr">
        <is>
          <t>0                      NA 0730000M  4                  C  68</t>
        </is>
      </c>
      <c r="D270" t="inlineStr">
        <is>
          <t>Colonial architecture in Massachusetts : from material originally published as the White pine series of architectural monographs, edited by Russell F. Whitehead and Frank Chouteau Brown / prepared for this series by the staff of the Early American Society, Robert G. Miner, editor ... [et al.].</t>
        </is>
      </c>
      <c r="F270" t="inlineStr">
        <is>
          <t>No</t>
        </is>
      </c>
      <c r="G270" t="inlineStr">
        <is>
          <t>1</t>
        </is>
      </c>
      <c r="H270" t="inlineStr">
        <is>
          <t>No</t>
        </is>
      </c>
      <c r="I270" t="inlineStr">
        <is>
          <t>No</t>
        </is>
      </c>
      <c r="J270" t="inlineStr">
        <is>
          <t>0</t>
        </is>
      </c>
      <c r="L270" t="inlineStr">
        <is>
          <t>New York : Arno Press : distributed to the book trade by Crown Publishers, c1977.</t>
        </is>
      </c>
      <c r="M270" t="inlineStr">
        <is>
          <t>1977</t>
        </is>
      </c>
      <c r="O270" t="inlineStr">
        <is>
          <t>eng</t>
        </is>
      </c>
      <c r="P270" t="inlineStr">
        <is>
          <t>nyu</t>
        </is>
      </c>
      <c r="Q270" t="inlineStr">
        <is>
          <t>An Early American Society book</t>
        </is>
      </c>
      <c r="R270" t="inlineStr">
        <is>
          <t xml:space="preserve">NA </t>
        </is>
      </c>
      <c r="S270" t="n">
        <v>5</v>
      </c>
      <c r="T270" t="n">
        <v>5</v>
      </c>
      <c r="U270" t="inlineStr">
        <is>
          <t>1998-02-25</t>
        </is>
      </c>
      <c r="V270" t="inlineStr">
        <is>
          <t>1998-02-25</t>
        </is>
      </c>
      <c r="W270" t="inlineStr">
        <is>
          <t>1992-04-03</t>
        </is>
      </c>
      <c r="X270" t="inlineStr">
        <is>
          <t>1992-04-03</t>
        </is>
      </c>
      <c r="Y270" t="n">
        <v>509</v>
      </c>
      <c r="Z270" t="n">
        <v>491</v>
      </c>
      <c r="AA270" t="n">
        <v>498</v>
      </c>
      <c r="AB270" t="n">
        <v>2</v>
      </c>
      <c r="AC270" t="n">
        <v>2</v>
      </c>
      <c r="AD270" t="n">
        <v>14</v>
      </c>
      <c r="AE270" t="n">
        <v>14</v>
      </c>
      <c r="AF270" t="n">
        <v>5</v>
      </c>
      <c r="AG270" t="n">
        <v>5</v>
      </c>
      <c r="AH270" t="n">
        <v>4</v>
      </c>
      <c r="AI270" t="n">
        <v>4</v>
      </c>
      <c r="AJ270" t="n">
        <v>7</v>
      </c>
      <c r="AK270" t="n">
        <v>7</v>
      </c>
      <c r="AL270" t="n">
        <v>1</v>
      </c>
      <c r="AM270" t="n">
        <v>1</v>
      </c>
      <c r="AN270" t="n">
        <v>0</v>
      </c>
      <c r="AO270" t="n">
        <v>0</v>
      </c>
      <c r="AP270" t="inlineStr">
        <is>
          <t>No</t>
        </is>
      </c>
      <c r="AQ270" t="inlineStr">
        <is>
          <t>Yes</t>
        </is>
      </c>
      <c r="AR270">
        <f>HYPERLINK("http://catalog.hathitrust.org/Record/003559594","HathiTrust Record")</f>
        <v/>
      </c>
      <c r="AS270">
        <f>HYPERLINK("https://creighton-primo.hosted.exlibrisgroup.com/primo-explore/search?tab=default_tab&amp;search_scope=EVERYTHING&amp;vid=01CRU&amp;lang=en_US&amp;offset=0&amp;query=any,contains,991004393569702656","Catalog Record")</f>
        <v/>
      </c>
      <c r="AT270">
        <f>HYPERLINK("http://www.worldcat.org/oclc/3273931","WorldCat Record")</f>
        <v/>
      </c>
      <c r="AU270" t="inlineStr">
        <is>
          <t>424249782:eng</t>
        </is>
      </c>
      <c r="AV270" t="inlineStr">
        <is>
          <t>3273931</t>
        </is>
      </c>
      <c r="AW270" t="inlineStr">
        <is>
          <t>991004393569702656</t>
        </is>
      </c>
      <c r="AX270" t="inlineStr">
        <is>
          <t>991004393569702656</t>
        </is>
      </c>
      <c r="AY270" t="inlineStr">
        <is>
          <t>2263160670002656</t>
        </is>
      </c>
      <c r="AZ270" t="inlineStr">
        <is>
          <t>BOOK</t>
        </is>
      </c>
      <c r="BB270" t="inlineStr">
        <is>
          <t>9780405100659</t>
        </is>
      </c>
      <c r="BC270" t="inlineStr">
        <is>
          <t>32285001033637</t>
        </is>
      </c>
      <c r="BD270" t="inlineStr">
        <is>
          <t>893325331</t>
        </is>
      </c>
    </row>
    <row r="271">
      <c r="A271" t="inlineStr">
        <is>
          <t>No</t>
        </is>
      </c>
      <c r="B271" t="inlineStr">
        <is>
          <t>NA730.N42 L667 1980</t>
        </is>
      </c>
      <c r="C271" t="inlineStr">
        <is>
          <t>0                      NA 0730000N  42                 L  667         1980</t>
        </is>
      </c>
      <c r="D271" t="inlineStr">
        <is>
          <t>Beaux-arts estates : a guide to the architecture of Long Island / Liisa and Donald Sclare.</t>
        </is>
      </c>
      <c r="F271" t="inlineStr">
        <is>
          <t>No</t>
        </is>
      </c>
      <c r="G271" t="inlineStr">
        <is>
          <t>1</t>
        </is>
      </c>
      <c r="H271" t="inlineStr">
        <is>
          <t>No</t>
        </is>
      </c>
      <c r="I271" t="inlineStr">
        <is>
          <t>No</t>
        </is>
      </c>
      <c r="J271" t="inlineStr">
        <is>
          <t>0</t>
        </is>
      </c>
      <c r="K271" t="inlineStr">
        <is>
          <t>Sclare, Liisa.</t>
        </is>
      </c>
      <c r="L271" t="inlineStr">
        <is>
          <t>New York : Viking Press, 1980, c1979.</t>
        </is>
      </c>
      <c r="M271" t="inlineStr">
        <is>
          <t>1980</t>
        </is>
      </c>
      <c r="O271" t="inlineStr">
        <is>
          <t>eng</t>
        </is>
      </c>
      <c r="P271" t="inlineStr">
        <is>
          <t>nyu</t>
        </is>
      </c>
      <c r="R271" t="inlineStr">
        <is>
          <t xml:space="preserve">NA </t>
        </is>
      </c>
      <c r="S271" t="n">
        <v>10</v>
      </c>
      <c r="T271" t="n">
        <v>10</v>
      </c>
      <c r="U271" t="inlineStr">
        <is>
          <t>2004-09-24</t>
        </is>
      </c>
      <c r="V271" t="inlineStr">
        <is>
          <t>2004-09-24</t>
        </is>
      </c>
      <c r="W271" t="inlineStr">
        <is>
          <t>1990-06-22</t>
        </is>
      </c>
      <c r="X271" t="inlineStr">
        <is>
          <t>1990-06-22</t>
        </is>
      </c>
      <c r="Y271" t="n">
        <v>258</v>
      </c>
      <c r="Z271" t="n">
        <v>240</v>
      </c>
      <c r="AA271" t="n">
        <v>254</v>
      </c>
      <c r="AB271" t="n">
        <v>2</v>
      </c>
      <c r="AC271" t="n">
        <v>2</v>
      </c>
      <c r="AD271" t="n">
        <v>6</v>
      </c>
      <c r="AE271" t="n">
        <v>6</v>
      </c>
      <c r="AF271" t="n">
        <v>1</v>
      </c>
      <c r="AG271" t="n">
        <v>1</v>
      </c>
      <c r="AH271" t="n">
        <v>2</v>
      </c>
      <c r="AI271" t="n">
        <v>2</v>
      </c>
      <c r="AJ271" t="n">
        <v>2</v>
      </c>
      <c r="AK271" t="n">
        <v>2</v>
      </c>
      <c r="AL271" t="n">
        <v>1</v>
      </c>
      <c r="AM271" t="n">
        <v>1</v>
      </c>
      <c r="AN271" t="n">
        <v>0</v>
      </c>
      <c r="AO271" t="n">
        <v>0</v>
      </c>
      <c r="AP271" t="inlineStr">
        <is>
          <t>No</t>
        </is>
      </c>
      <c r="AQ271" t="inlineStr">
        <is>
          <t>Yes</t>
        </is>
      </c>
      <c r="AR271">
        <f>HYPERLINK("http://catalog.hathitrust.org/Record/000695692","HathiTrust Record")</f>
        <v/>
      </c>
      <c r="AS271">
        <f>HYPERLINK("https://creighton-primo.hosted.exlibrisgroup.com/primo-explore/search?tab=default_tab&amp;search_scope=EVERYTHING&amp;vid=01CRU&amp;lang=en_US&amp;offset=0&amp;query=any,contains,991004671739702656","Catalog Record")</f>
        <v/>
      </c>
      <c r="AT271">
        <f>HYPERLINK("http://www.worldcat.org/oclc/4515971","WorldCat Record")</f>
        <v/>
      </c>
      <c r="AU271" t="inlineStr">
        <is>
          <t>367160663:eng</t>
        </is>
      </c>
      <c r="AV271" t="inlineStr">
        <is>
          <t>4515971</t>
        </is>
      </c>
      <c r="AW271" t="inlineStr">
        <is>
          <t>991004671739702656</t>
        </is>
      </c>
      <c r="AX271" t="inlineStr">
        <is>
          <t>991004671739702656</t>
        </is>
      </c>
      <c r="AY271" t="inlineStr">
        <is>
          <t>2262939890002656</t>
        </is>
      </c>
      <c r="AZ271" t="inlineStr">
        <is>
          <t>BOOK</t>
        </is>
      </c>
      <c r="BB271" t="inlineStr">
        <is>
          <t>9780670343836</t>
        </is>
      </c>
      <c r="BC271" t="inlineStr">
        <is>
          <t>32285000212810</t>
        </is>
      </c>
      <c r="BD271" t="inlineStr">
        <is>
          <t>893776292</t>
        </is>
      </c>
    </row>
    <row r="272">
      <c r="A272" t="inlineStr">
        <is>
          <t>No</t>
        </is>
      </c>
      <c r="B272" t="inlineStr">
        <is>
          <t>NA7328 .M88 1982</t>
        </is>
      </c>
      <c r="C272" t="inlineStr">
        <is>
          <t>0                      NA 7328000M  88          1982</t>
        </is>
      </c>
      <c r="D272" t="inlineStr">
        <is>
          <t>The English terraced house / Stefan Muthesius.</t>
        </is>
      </c>
      <c r="F272" t="inlineStr">
        <is>
          <t>No</t>
        </is>
      </c>
      <c r="G272" t="inlineStr">
        <is>
          <t>1</t>
        </is>
      </c>
      <c r="H272" t="inlineStr">
        <is>
          <t>No</t>
        </is>
      </c>
      <c r="I272" t="inlineStr">
        <is>
          <t>No</t>
        </is>
      </c>
      <c r="J272" t="inlineStr">
        <is>
          <t>0</t>
        </is>
      </c>
      <c r="K272" t="inlineStr">
        <is>
          <t>Muthesius, Stefan.</t>
        </is>
      </c>
      <c r="L272" t="inlineStr">
        <is>
          <t>New Haven : Yale University Press, 1982.</t>
        </is>
      </c>
      <c r="M272" t="inlineStr">
        <is>
          <t>1982</t>
        </is>
      </c>
      <c r="O272" t="inlineStr">
        <is>
          <t>eng</t>
        </is>
      </c>
      <c r="P272" t="inlineStr">
        <is>
          <t>ctu</t>
        </is>
      </c>
      <c r="R272" t="inlineStr">
        <is>
          <t xml:space="preserve">NA </t>
        </is>
      </c>
      <c r="S272" t="n">
        <v>3</v>
      </c>
      <c r="T272" t="n">
        <v>3</v>
      </c>
      <c r="U272" t="inlineStr">
        <is>
          <t>1992-07-26</t>
        </is>
      </c>
      <c r="V272" t="inlineStr">
        <is>
          <t>1992-07-26</t>
        </is>
      </c>
      <c r="W272" t="inlineStr">
        <is>
          <t>1990-06-22</t>
        </is>
      </c>
      <c r="X272" t="inlineStr">
        <is>
          <t>1990-06-22</t>
        </is>
      </c>
      <c r="Y272" t="n">
        <v>599</v>
      </c>
      <c r="Z272" t="n">
        <v>360</v>
      </c>
      <c r="AA272" t="n">
        <v>363</v>
      </c>
      <c r="AB272" t="n">
        <v>2</v>
      </c>
      <c r="AC272" t="n">
        <v>2</v>
      </c>
      <c r="AD272" t="n">
        <v>10</v>
      </c>
      <c r="AE272" t="n">
        <v>10</v>
      </c>
      <c r="AF272" t="n">
        <v>3</v>
      </c>
      <c r="AG272" t="n">
        <v>3</v>
      </c>
      <c r="AH272" t="n">
        <v>2</v>
      </c>
      <c r="AI272" t="n">
        <v>2</v>
      </c>
      <c r="AJ272" t="n">
        <v>4</v>
      </c>
      <c r="AK272" t="n">
        <v>4</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HYPERLINK("https://creighton-primo.hosted.exlibrisgroup.com/primo-explore/search?tab=default_tab&amp;search_scope=EVERYTHING&amp;vid=01CRU&amp;lang=en_US&amp;offset=0&amp;query=any,contains,991005242269702656","Catalog Record")</f>
        <v/>
      </c>
      <c r="AT272">
        <f>HYPERLINK("http://www.worldcat.org/oclc/8430498","WorldCat Record")</f>
        <v/>
      </c>
      <c r="AU272" t="inlineStr">
        <is>
          <t>435977:eng</t>
        </is>
      </c>
      <c r="AV272" t="inlineStr">
        <is>
          <t>8430498</t>
        </is>
      </c>
      <c r="AW272" t="inlineStr">
        <is>
          <t>991005242269702656</t>
        </is>
      </c>
      <c r="AX272" t="inlineStr">
        <is>
          <t>991005242269702656</t>
        </is>
      </c>
      <c r="AY272" t="inlineStr">
        <is>
          <t>2261318380002656</t>
        </is>
      </c>
      <c r="AZ272" t="inlineStr">
        <is>
          <t>BOOK</t>
        </is>
      </c>
      <c r="BB272" t="inlineStr">
        <is>
          <t>9780300028713</t>
        </is>
      </c>
      <c r="BC272" t="inlineStr">
        <is>
          <t>32285000212828</t>
        </is>
      </c>
      <c r="BD272" t="inlineStr">
        <is>
          <t>893320307</t>
        </is>
      </c>
    </row>
    <row r="273">
      <c r="A273" t="inlineStr">
        <is>
          <t>No</t>
        </is>
      </c>
      <c r="B273" t="inlineStr">
        <is>
          <t>NA7328 .W64 1981</t>
        </is>
      </c>
      <c r="C273" t="inlineStr">
        <is>
          <t>0                      NA 7328000W  64          1981</t>
        </is>
      </c>
      <c r="D273" t="inlineStr">
        <is>
          <t>The English mediaeval house / Margaret Wood.</t>
        </is>
      </c>
      <c r="F273" t="inlineStr">
        <is>
          <t>No</t>
        </is>
      </c>
      <c r="G273" t="inlineStr">
        <is>
          <t>1</t>
        </is>
      </c>
      <c r="H273" t="inlineStr">
        <is>
          <t>No</t>
        </is>
      </c>
      <c r="I273" t="inlineStr">
        <is>
          <t>No</t>
        </is>
      </c>
      <c r="J273" t="inlineStr">
        <is>
          <t>0</t>
        </is>
      </c>
      <c r="K273" t="inlineStr">
        <is>
          <t>Wood, Margaret, 1908-</t>
        </is>
      </c>
      <c r="L273" t="inlineStr">
        <is>
          <t>London : Ferndale Editions, 1981, c1965.</t>
        </is>
      </c>
      <c r="M273" t="inlineStr">
        <is>
          <t>1981</t>
        </is>
      </c>
      <c r="O273" t="inlineStr">
        <is>
          <t>eng</t>
        </is>
      </c>
      <c r="P273" t="inlineStr">
        <is>
          <t>enk</t>
        </is>
      </c>
      <c r="R273" t="inlineStr">
        <is>
          <t xml:space="preserve">NA </t>
        </is>
      </c>
      <c r="S273" t="n">
        <v>2</v>
      </c>
      <c r="T273" t="n">
        <v>2</v>
      </c>
      <c r="U273" t="inlineStr">
        <is>
          <t>2002-07-26</t>
        </is>
      </c>
      <c r="V273" t="inlineStr">
        <is>
          <t>2002-07-26</t>
        </is>
      </c>
      <c r="W273" t="inlineStr">
        <is>
          <t>1993-05-14</t>
        </is>
      </c>
      <c r="X273" t="inlineStr">
        <is>
          <t>1993-05-14</t>
        </is>
      </c>
      <c r="Y273" t="n">
        <v>145</v>
      </c>
      <c r="Z273" t="n">
        <v>95</v>
      </c>
      <c r="AA273" t="n">
        <v>699</v>
      </c>
      <c r="AB273" t="n">
        <v>1</v>
      </c>
      <c r="AC273" t="n">
        <v>5</v>
      </c>
      <c r="AD273" t="n">
        <v>3</v>
      </c>
      <c r="AE273" t="n">
        <v>29</v>
      </c>
      <c r="AF273" t="n">
        <v>2</v>
      </c>
      <c r="AG273" t="n">
        <v>9</v>
      </c>
      <c r="AH273" t="n">
        <v>1</v>
      </c>
      <c r="AI273" t="n">
        <v>6</v>
      </c>
      <c r="AJ273" t="n">
        <v>1</v>
      </c>
      <c r="AK273" t="n">
        <v>15</v>
      </c>
      <c r="AL273" t="n">
        <v>0</v>
      </c>
      <c r="AM273" t="n">
        <v>4</v>
      </c>
      <c r="AN273" t="n">
        <v>0</v>
      </c>
      <c r="AO273" t="n">
        <v>0</v>
      </c>
      <c r="AP273" t="inlineStr">
        <is>
          <t>No</t>
        </is>
      </c>
      <c r="AQ273" t="inlineStr">
        <is>
          <t>Yes</t>
        </is>
      </c>
      <c r="AR273">
        <f>HYPERLINK("http://catalog.hathitrust.org/Record/008509959","HathiTrust Record")</f>
        <v/>
      </c>
      <c r="AS273">
        <f>HYPERLINK("https://creighton-primo.hosted.exlibrisgroup.com/primo-explore/search?tab=default_tab&amp;search_scope=EVERYTHING&amp;vid=01CRU&amp;lang=en_US&amp;offset=0&amp;query=any,contains,991000049789702656","Catalog Record")</f>
        <v/>
      </c>
      <c r="AT273">
        <f>HYPERLINK("http://www.worldcat.org/oclc/8680812","WorldCat Record")</f>
        <v/>
      </c>
      <c r="AU273" t="inlineStr">
        <is>
          <t>1483815:eng</t>
        </is>
      </c>
      <c r="AV273" t="inlineStr">
        <is>
          <t>8680812</t>
        </is>
      </c>
      <c r="AW273" t="inlineStr">
        <is>
          <t>991000049789702656</t>
        </is>
      </c>
      <c r="AX273" t="inlineStr">
        <is>
          <t>991000049789702656</t>
        </is>
      </c>
      <c r="AY273" t="inlineStr">
        <is>
          <t>2268190970002656</t>
        </is>
      </c>
      <c r="AZ273" t="inlineStr">
        <is>
          <t>BOOK</t>
        </is>
      </c>
      <c r="BB273" t="inlineStr">
        <is>
          <t>9780905746234</t>
        </is>
      </c>
      <c r="BC273" t="inlineStr">
        <is>
          <t>32285001658235</t>
        </is>
      </c>
      <c r="BD273" t="inlineStr">
        <is>
          <t>893601407</t>
        </is>
      </c>
    </row>
    <row r="274">
      <c r="A274" t="inlineStr">
        <is>
          <t>No</t>
        </is>
      </c>
      <c r="B274" t="inlineStr">
        <is>
          <t>NA735.C4 B33</t>
        </is>
      </c>
      <c r="C274" t="inlineStr">
        <is>
          <t>0                      NA 0735000C  4                  B  33</t>
        </is>
      </c>
      <c r="D274" t="inlineStr">
        <is>
          <t>A guide to Chicago's historic suburbs on wheels and on foot (Lake, McHenry, Kane, DuPage, Will &amp; Cook Counties) / by Ira J. Bach assisted by Susan Wolfson.</t>
        </is>
      </c>
      <c r="F274" t="inlineStr">
        <is>
          <t>No</t>
        </is>
      </c>
      <c r="G274" t="inlineStr">
        <is>
          <t>1</t>
        </is>
      </c>
      <c r="H274" t="inlineStr">
        <is>
          <t>No</t>
        </is>
      </c>
      <c r="I274" t="inlineStr">
        <is>
          <t>No</t>
        </is>
      </c>
      <c r="J274" t="inlineStr">
        <is>
          <t>0</t>
        </is>
      </c>
      <c r="K274" t="inlineStr">
        <is>
          <t>Bach, Ira J.</t>
        </is>
      </c>
      <c r="L274" t="inlineStr">
        <is>
          <t>Chicago : Swallow Press, c1981.</t>
        </is>
      </c>
      <c r="M274" t="inlineStr">
        <is>
          <t>1981</t>
        </is>
      </c>
      <c r="O274" t="inlineStr">
        <is>
          <t>eng</t>
        </is>
      </c>
      <c r="P274" t="inlineStr">
        <is>
          <t>ilu</t>
        </is>
      </c>
      <c r="R274" t="inlineStr">
        <is>
          <t xml:space="preserve">NA </t>
        </is>
      </c>
      <c r="S274" t="n">
        <v>17</v>
      </c>
      <c r="T274" t="n">
        <v>17</v>
      </c>
      <c r="U274" t="inlineStr">
        <is>
          <t>2009-05-11</t>
        </is>
      </c>
      <c r="V274" t="inlineStr">
        <is>
          <t>2009-05-11</t>
        </is>
      </c>
      <c r="W274" t="inlineStr">
        <is>
          <t>1990-03-13</t>
        </is>
      </c>
      <c r="X274" t="inlineStr">
        <is>
          <t>1990-03-13</t>
        </is>
      </c>
      <c r="Y274" t="n">
        <v>296</v>
      </c>
      <c r="Z274" t="n">
        <v>281</v>
      </c>
      <c r="AA274" t="n">
        <v>292</v>
      </c>
      <c r="AB274" t="n">
        <v>2</v>
      </c>
      <c r="AC274" t="n">
        <v>2</v>
      </c>
      <c r="AD274" t="n">
        <v>6</v>
      </c>
      <c r="AE274" t="n">
        <v>6</v>
      </c>
      <c r="AF274" t="n">
        <v>2</v>
      </c>
      <c r="AG274" t="n">
        <v>2</v>
      </c>
      <c r="AH274" t="n">
        <v>2</v>
      </c>
      <c r="AI274" t="n">
        <v>2</v>
      </c>
      <c r="AJ274" t="n">
        <v>1</v>
      </c>
      <c r="AK274" t="n">
        <v>1</v>
      </c>
      <c r="AL274" t="n">
        <v>1</v>
      </c>
      <c r="AM274" t="n">
        <v>1</v>
      </c>
      <c r="AN274" t="n">
        <v>0</v>
      </c>
      <c r="AO274" t="n">
        <v>0</v>
      </c>
      <c r="AP274" t="inlineStr">
        <is>
          <t>No</t>
        </is>
      </c>
      <c r="AQ274" t="inlineStr">
        <is>
          <t>Yes</t>
        </is>
      </c>
      <c r="AR274">
        <f>HYPERLINK("http://catalog.hathitrust.org/Record/000102179","HathiTrust Record")</f>
        <v/>
      </c>
      <c r="AS274">
        <f>HYPERLINK("https://creighton-primo.hosted.exlibrisgroup.com/primo-explore/search?tab=default_tab&amp;search_scope=EVERYTHING&amp;vid=01CRU&amp;lang=en_US&amp;offset=0&amp;query=any,contains,991005125539702656","Catalog Record")</f>
        <v/>
      </c>
      <c r="AT274">
        <f>HYPERLINK("http://www.worldcat.org/oclc/7553324","WorldCat Record")</f>
        <v/>
      </c>
      <c r="AU274" t="inlineStr">
        <is>
          <t>457467:eng</t>
        </is>
      </c>
      <c r="AV274" t="inlineStr">
        <is>
          <t>7553324</t>
        </is>
      </c>
      <c r="AW274" t="inlineStr">
        <is>
          <t>991005125539702656</t>
        </is>
      </c>
      <c r="AX274" t="inlineStr">
        <is>
          <t>991005125539702656</t>
        </is>
      </c>
      <c r="AY274" t="inlineStr">
        <is>
          <t>2262651310002656</t>
        </is>
      </c>
      <c r="AZ274" t="inlineStr">
        <is>
          <t>BOOK</t>
        </is>
      </c>
      <c r="BB274" t="inlineStr">
        <is>
          <t>9780804003742</t>
        </is>
      </c>
      <c r="BC274" t="inlineStr">
        <is>
          <t>32285000085364</t>
        </is>
      </c>
      <c r="BD274" t="inlineStr">
        <is>
          <t>893332431</t>
        </is>
      </c>
    </row>
    <row r="275">
      <c r="A275" t="inlineStr">
        <is>
          <t>No</t>
        </is>
      </c>
      <c r="B275" t="inlineStr">
        <is>
          <t>NA735.C4 C4 1980</t>
        </is>
      </c>
      <c r="C275" t="inlineStr">
        <is>
          <t>0                      NA 0735000C  4                  C  4           1980</t>
        </is>
      </c>
      <c r="D275" t="inlineStr">
        <is>
          <t>Chicago's famous buildings : a photographic guide to the city's architectural landmarks and other notable buildings / contributions by Carl W. Condit and Hugh Dalziel Duncan.</t>
        </is>
      </c>
      <c r="F275" t="inlineStr">
        <is>
          <t>No</t>
        </is>
      </c>
      <c r="G275" t="inlineStr">
        <is>
          <t>1</t>
        </is>
      </c>
      <c r="H275" t="inlineStr">
        <is>
          <t>No</t>
        </is>
      </c>
      <c r="I275" t="inlineStr">
        <is>
          <t>No</t>
        </is>
      </c>
      <c r="J275" t="inlineStr">
        <is>
          <t>0</t>
        </is>
      </c>
      <c r="L275" t="inlineStr">
        <is>
          <t>Chicago : University of Chicago Press, 1980.</t>
        </is>
      </c>
      <c r="M275" t="inlineStr">
        <is>
          <t>1980</t>
        </is>
      </c>
      <c r="N275" t="inlineStr">
        <is>
          <t>3d ed., rev. and enl. / edited by Ira J. Bach with the assistance of Roy Forrey.</t>
        </is>
      </c>
      <c r="O275" t="inlineStr">
        <is>
          <t>eng</t>
        </is>
      </c>
      <c r="P275" t="inlineStr">
        <is>
          <t>ilu</t>
        </is>
      </c>
      <c r="R275" t="inlineStr">
        <is>
          <t xml:space="preserve">NA </t>
        </is>
      </c>
      <c r="S275" t="n">
        <v>16</v>
      </c>
      <c r="T275" t="n">
        <v>16</v>
      </c>
      <c r="U275" t="inlineStr">
        <is>
          <t>2005-05-04</t>
        </is>
      </c>
      <c r="V275" t="inlineStr">
        <is>
          <t>2005-05-04</t>
        </is>
      </c>
      <c r="W275" t="inlineStr">
        <is>
          <t>1990-03-13</t>
        </is>
      </c>
      <c r="X275" t="inlineStr">
        <is>
          <t>1990-03-13</t>
        </is>
      </c>
      <c r="Y275" t="n">
        <v>490</v>
      </c>
      <c r="Z275" t="n">
        <v>422</v>
      </c>
      <c r="AA275" t="n">
        <v>829</v>
      </c>
      <c r="AB275" t="n">
        <v>3</v>
      </c>
      <c r="AC275" t="n">
        <v>6</v>
      </c>
      <c r="AD275" t="n">
        <v>15</v>
      </c>
      <c r="AE275" t="n">
        <v>25</v>
      </c>
      <c r="AF275" t="n">
        <v>4</v>
      </c>
      <c r="AG275" t="n">
        <v>8</v>
      </c>
      <c r="AH275" t="n">
        <v>4</v>
      </c>
      <c r="AI275" t="n">
        <v>6</v>
      </c>
      <c r="AJ275" t="n">
        <v>9</v>
      </c>
      <c r="AK275" t="n">
        <v>13</v>
      </c>
      <c r="AL275" t="n">
        <v>2</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HYPERLINK("https://creighton-primo.hosted.exlibrisgroup.com/primo-explore/search?tab=default_tab&amp;search_scope=EVERYTHING&amp;vid=01CRU&amp;lang=en_US&amp;offset=0&amp;query=any,contains,991004855959702656","Catalog Record")</f>
        <v/>
      </c>
      <c r="AT275">
        <f>HYPERLINK("http://www.worldcat.org/oclc/5674964","WorldCat Record")</f>
        <v/>
      </c>
      <c r="AU275" t="inlineStr">
        <is>
          <t>4921992344:eng</t>
        </is>
      </c>
      <c r="AV275" t="inlineStr">
        <is>
          <t>5674964</t>
        </is>
      </c>
      <c r="AW275" t="inlineStr">
        <is>
          <t>991004855959702656</t>
        </is>
      </c>
      <c r="AX275" t="inlineStr">
        <is>
          <t>991004855959702656</t>
        </is>
      </c>
      <c r="AY275" t="inlineStr">
        <is>
          <t>2260328620002656</t>
        </is>
      </c>
      <c r="AZ275" t="inlineStr">
        <is>
          <t>BOOK</t>
        </is>
      </c>
      <c r="BB275" t="inlineStr">
        <is>
          <t>9780226033952</t>
        </is>
      </c>
      <c r="BC275" t="inlineStr">
        <is>
          <t>32285000085372</t>
        </is>
      </c>
      <c r="BD275" t="inlineStr">
        <is>
          <t>893229925</t>
        </is>
      </c>
    </row>
    <row r="276">
      <c r="A276" t="inlineStr">
        <is>
          <t>No</t>
        </is>
      </c>
      <c r="B276" t="inlineStr">
        <is>
          <t>NA735.C4 L37 1993</t>
        </is>
      </c>
      <c r="C276" t="inlineStr">
        <is>
          <t>0                      NA 0735000C  4                  L  37          1993</t>
        </is>
      </c>
      <c r="D276" t="inlineStr">
        <is>
          <t>Chicago architecture and design / George A. Larson, Jay Pridmore ; with photography by Hedrich-Blessing.</t>
        </is>
      </c>
      <c r="F276" t="inlineStr">
        <is>
          <t>No</t>
        </is>
      </c>
      <c r="G276" t="inlineStr">
        <is>
          <t>1</t>
        </is>
      </c>
      <c r="H276" t="inlineStr">
        <is>
          <t>No</t>
        </is>
      </c>
      <c r="I276" t="inlineStr">
        <is>
          <t>No</t>
        </is>
      </c>
      <c r="J276" t="inlineStr">
        <is>
          <t>0</t>
        </is>
      </c>
      <c r="K276" t="inlineStr">
        <is>
          <t>Larson, George A.</t>
        </is>
      </c>
      <c r="L276" t="inlineStr">
        <is>
          <t>New York : H.N. Abrams, 1993.</t>
        </is>
      </c>
      <c r="M276" t="inlineStr">
        <is>
          <t>1993</t>
        </is>
      </c>
      <c r="O276" t="inlineStr">
        <is>
          <t>eng</t>
        </is>
      </c>
      <c r="P276" t="inlineStr">
        <is>
          <t>nyu</t>
        </is>
      </c>
      <c r="R276" t="inlineStr">
        <is>
          <t xml:space="preserve">NA </t>
        </is>
      </c>
      <c r="S276" t="n">
        <v>22</v>
      </c>
      <c r="T276" t="n">
        <v>22</v>
      </c>
      <c r="U276" t="inlineStr">
        <is>
          <t>2005-04-05</t>
        </is>
      </c>
      <c r="V276" t="inlineStr">
        <is>
          <t>2005-04-05</t>
        </is>
      </c>
      <c r="W276" t="inlineStr">
        <is>
          <t>1994-06-08</t>
        </is>
      </c>
      <c r="X276" t="inlineStr">
        <is>
          <t>1994-06-08</t>
        </is>
      </c>
      <c r="Y276" t="n">
        <v>600</v>
      </c>
      <c r="Z276" t="n">
        <v>520</v>
      </c>
      <c r="AA276" t="n">
        <v>527</v>
      </c>
      <c r="AB276" t="n">
        <v>3</v>
      </c>
      <c r="AC276" t="n">
        <v>3</v>
      </c>
      <c r="AD276" t="n">
        <v>15</v>
      </c>
      <c r="AE276" t="n">
        <v>15</v>
      </c>
      <c r="AF276" t="n">
        <v>5</v>
      </c>
      <c r="AG276" t="n">
        <v>5</v>
      </c>
      <c r="AH276" t="n">
        <v>3</v>
      </c>
      <c r="AI276" t="n">
        <v>3</v>
      </c>
      <c r="AJ276" t="n">
        <v>7</v>
      </c>
      <c r="AK276" t="n">
        <v>7</v>
      </c>
      <c r="AL276" t="n">
        <v>2</v>
      </c>
      <c r="AM276" t="n">
        <v>2</v>
      </c>
      <c r="AN276" t="n">
        <v>0</v>
      </c>
      <c r="AO276" t="n">
        <v>0</v>
      </c>
      <c r="AP276" t="inlineStr">
        <is>
          <t>No</t>
        </is>
      </c>
      <c r="AQ276" t="inlineStr">
        <is>
          <t>Yes</t>
        </is>
      </c>
      <c r="AR276">
        <f>HYPERLINK("http://catalog.hathitrust.org/Record/002868673","HathiTrust Record")</f>
        <v/>
      </c>
      <c r="AS276">
        <f>HYPERLINK("https://creighton-primo.hosted.exlibrisgroup.com/primo-explore/search?tab=default_tab&amp;search_scope=EVERYTHING&amp;vid=01CRU&amp;lang=en_US&amp;offset=0&amp;query=any,contains,991002140449702656","Catalog Record")</f>
        <v/>
      </c>
      <c r="AT276">
        <f>HYPERLINK("http://www.worldcat.org/oclc/27431589","WorldCat Record")</f>
        <v/>
      </c>
      <c r="AU276" t="inlineStr">
        <is>
          <t>905134:eng</t>
        </is>
      </c>
      <c r="AV276" t="inlineStr">
        <is>
          <t>27431589</t>
        </is>
      </c>
      <c r="AW276" t="inlineStr">
        <is>
          <t>991002140449702656</t>
        </is>
      </c>
      <c r="AX276" t="inlineStr">
        <is>
          <t>991002140449702656</t>
        </is>
      </c>
      <c r="AY276" t="inlineStr">
        <is>
          <t>2264402150002656</t>
        </is>
      </c>
      <c r="AZ276" t="inlineStr">
        <is>
          <t>BOOK</t>
        </is>
      </c>
      <c r="BB276" t="inlineStr">
        <is>
          <t>9780810931923</t>
        </is>
      </c>
      <c r="BC276" t="inlineStr">
        <is>
          <t>32285001922466</t>
        </is>
      </c>
      <c r="BD276" t="inlineStr">
        <is>
          <t>893697399</t>
        </is>
      </c>
    </row>
    <row r="277">
      <c r="A277" t="inlineStr">
        <is>
          <t>No</t>
        </is>
      </c>
      <c r="B277" t="inlineStr">
        <is>
          <t>NA735.C4 L67 1979</t>
        </is>
      </c>
      <c r="C277" t="inlineStr">
        <is>
          <t>0                      NA 0735000C  4                  L  67          1979</t>
        </is>
      </c>
      <c r="D277" t="inlineStr">
        <is>
          <t>Chicago interiors : views of a splendid world / David Lowe.</t>
        </is>
      </c>
      <c r="F277" t="inlineStr">
        <is>
          <t>No</t>
        </is>
      </c>
      <c r="G277" t="inlineStr">
        <is>
          <t>1</t>
        </is>
      </c>
      <c r="H277" t="inlineStr">
        <is>
          <t>No</t>
        </is>
      </c>
      <c r="I277" t="inlineStr">
        <is>
          <t>No</t>
        </is>
      </c>
      <c r="J277" t="inlineStr">
        <is>
          <t>0</t>
        </is>
      </c>
      <c r="K277" t="inlineStr">
        <is>
          <t>Lowe, David, 1933-</t>
        </is>
      </c>
      <c r="L277" t="inlineStr">
        <is>
          <t>Chicago : Contemporary Books, 1979.</t>
        </is>
      </c>
      <c r="M277" t="inlineStr">
        <is>
          <t>1979</t>
        </is>
      </c>
      <c r="O277" t="inlineStr">
        <is>
          <t>eng</t>
        </is>
      </c>
      <c r="P277" t="inlineStr">
        <is>
          <t>ilu</t>
        </is>
      </c>
      <c r="R277" t="inlineStr">
        <is>
          <t xml:space="preserve">NA </t>
        </is>
      </c>
      <c r="S277" t="n">
        <v>13</v>
      </c>
      <c r="T277" t="n">
        <v>13</v>
      </c>
      <c r="U277" t="inlineStr">
        <is>
          <t>2006-02-23</t>
        </is>
      </c>
      <c r="V277" t="inlineStr">
        <is>
          <t>2006-02-23</t>
        </is>
      </c>
      <c r="W277" t="inlineStr">
        <is>
          <t>1992-03-17</t>
        </is>
      </c>
      <c r="X277" t="inlineStr">
        <is>
          <t>1992-03-17</t>
        </is>
      </c>
      <c r="Y277" t="n">
        <v>373</v>
      </c>
      <c r="Z277" t="n">
        <v>350</v>
      </c>
      <c r="AA277" t="n">
        <v>388</v>
      </c>
      <c r="AB277" t="n">
        <v>2</v>
      </c>
      <c r="AC277" t="n">
        <v>2</v>
      </c>
      <c r="AD277" t="n">
        <v>7</v>
      </c>
      <c r="AE277" t="n">
        <v>7</v>
      </c>
      <c r="AF277" t="n">
        <v>1</v>
      </c>
      <c r="AG277" t="n">
        <v>1</v>
      </c>
      <c r="AH277" t="n">
        <v>3</v>
      </c>
      <c r="AI277" t="n">
        <v>3</v>
      </c>
      <c r="AJ277" t="n">
        <v>2</v>
      </c>
      <c r="AK277" t="n">
        <v>2</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HYPERLINK("https://creighton-primo.hosted.exlibrisgroup.com/primo-explore/search?tab=default_tab&amp;search_scope=EVERYTHING&amp;vid=01CRU&amp;lang=en_US&amp;offset=0&amp;query=any,contains,991004836399702656","Catalog Record")</f>
        <v/>
      </c>
      <c r="AT277">
        <f>HYPERLINK("http://www.worldcat.org/oclc/5451550","WorldCat Record")</f>
        <v/>
      </c>
      <c r="AU277" t="inlineStr">
        <is>
          <t>949197230:eng</t>
        </is>
      </c>
      <c r="AV277" t="inlineStr">
        <is>
          <t>5451550</t>
        </is>
      </c>
      <c r="AW277" t="inlineStr">
        <is>
          <t>991004836399702656</t>
        </is>
      </c>
      <c r="AX277" t="inlineStr">
        <is>
          <t>991004836399702656</t>
        </is>
      </c>
      <c r="AY277" t="inlineStr">
        <is>
          <t>2271293980002656</t>
        </is>
      </c>
      <c r="AZ277" t="inlineStr">
        <is>
          <t>BOOK</t>
        </is>
      </c>
      <c r="BB277" t="inlineStr">
        <is>
          <t>9780809275786</t>
        </is>
      </c>
      <c r="BC277" t="inlineStr">
        <is>
          <t>32285001023653</t>
        </is>
      </c>
      <c r="BD277" t="inlineStr">
        <is>
          <t>893513722</t>
        </is>
      </c>
    </row>
    <row r="278">
      <c r="A278" t="inlineStr">
        <is>
          <t>No</t>
        </is>
      </c>
      <c r="B278" t="inlineStr">
        <is>
          <t>NA735.D4 F4 1980</t>
        </is>
      </c>
      <c r="C278" t="inlineStr">
        <is>
          <t>0                      NA 0735000D  4                  F  4           1980</t>
        </is>
      </c>
      <c r="D278" t="inlineStr">
        <is>
          <t>The buildings of Detroit : a history / by W. Hawkins Ferry.</t>
        </is>
      </c>
      <c r="F278" t="inlineStr">
        <is>
          <t>No</t>
        </is>
      </c>
      <c r="G278" t="inlineStr">
        <is>
          <t>1</t>
        </is>
      </c>
      <c r="H278" t="inlineStr">
        <is>
          <t>No</t>
        </is>
      </c>
      <c r="I278" t="inlineStr">
        <is>
          <t>No</t>
        </is>
      </c>
      <c r="J278" t="inlineStr">
        <is>
          <t>0</t>
        </is>
      </c>
      <c r="K278" t="inlineStr">
        <is>
          <t>Ferry, W. Hawkins.</t>
        </is>
      </c>
      <c r="L278" t="inlineStr">
        <is>
          <t>Detroit : Wayne State University Press, 1980.</t>
        </is>
      </c>
      <c r="M278" t="inlineStr">
        <is>
          <t>1980</t>
        </is>
      </c>
      <c r="N278" t="inlineStr">
        <is>
          <t>Rev. ed.</t>
        </is>
      </c>
      <c r="O278" t="inlineStr">
        <is>
          <t>eng</t>
        </is>
      </c>
      <c r="P278" t="inlineStr">
        <is>
          <t>miu</t>
        </is>
      </c>
      <c r="R278" t="inlineStr">
        <is>
          <t xml:space="preserve">NA </t>
        </is>
      </c>
      <c r="S278" t="n">
        <v>7</v>
      </c>
      <c r="T278" t="n">
        <v>7</v>
      </c>
      <c r="U278" t="inlineStr">
        <is>
          <t>2005-04-07</t>
        </is>
      </c>
      <c r="V278" t="inlineStr">
        <is>
          <t>2005-04-07</t>
        </is>
      </c>
      <c r="W278" t="inlineStr">
        <is>
          <t>1993-05-13</t>
        </is>
      </c>
      <c r="X278" t="inlineStr">
        <is>
          <t>1993-05-13</t>
        </is>
      </c>
      <c r="Y278" t="n">
        <v>204</v>
      </c>
      <c r="Z278" t="n">
        <v>189</v>
      </c>
      <c r="AA278" t="n">
        <v>421</v>
      </c>
      <c r="AB278" t="n">
        <v>2</v>
      </c>
      <c r="AC278" t="n">
        <v>3</v>
      </c>
      <c r="AD278" t="n">
        <v>5</v>
      </c>
      <c r="AE278" t="n">
        <v>11</v>
      </c>
      <c r="AF278" t="n">
        <v>0</v>
      </c>
      <c r="AG278" t="n">
        <v>2</v>
      </c>
      <c r="AH278" t="n">
        <v>2</v>
      </c>
      <c r="AI278" t="n">
        <v>2</v>
      </c>
      <c r="AJ278" t="n">
        <v>3</v>
      </c>
      <c r="AK278" t="n">
        <v>6</v>
      </c>
      <c r="AL278" t="n">
        <v>1</v>
      </c>
      <c r="AM278" t="n">
        <v>2</v>
      </c>
      <c r="AN278" t="n">
        <v>0</v>
      </c>
      <c r="AO278" t="n">
        <v>0</v>
      </c>
      <c r="AP278" t="inlineStr">
        <is>
          <t>No</t>
        </is>
      </c>
      <c r="AQ278" t="inlineStr">
        <is>
          <t>Yes</t>
        </is>
      </c>
      <c r="AR278">
        <f>HYPERLINK("http://catalog.hathitrust.org/Record/000715457","HathiTrust Record")</f>
        <v/>
      </c>
      <c r="AS278">
        <f>HYPERLINK("https://creighton-primo.hosted.exlibrisgroup.com/primo-explore/search?tab=default_tab&amp;search_scope=EVERYTHING&amp;vid=01CRU&amp;lang=en_US&amp;offset=0&amp;query=any,contains,991004965509702656","Catalog Record")</f>
        <v/>
      </c>
      <c r="AT278">
        <f>HYPERLINK("http://www.worldcat.org/oclc/6331429","WorldCat Record")</f>
        <v/>
      </c>
      <c r="AU278" t="inlineStr">
        <is>
          <t>476180:eng</t>
        </is>
      </c>
      <c r="AV278" t="inlineStr">
        <is>
          <t>6331429</t>
        </is>
      </c>
      <c r="AW278" t="inlineStr">
        <is>
          <t>991004965509702656</t>
        </is>
      </c>
      <c r="AX278" t="inlineStr">
        <is>
          <t>991004965509702656</t>
        </is>
      </c>
      <c r="AY278" t="inlineStr">
        <is>
          <t>2272331990002656</t>
        </is>
      </c>
      <c r="AZ278" t="inlineStr">
        <is>
          <t>BOOK</t>
        </is>
      </c>
      <c r="BB278" t="inlineStr">
        <is>
          <t>9780814316658</t>
        </is>
      </c>
      <c r="BC278" t="inlineStr">
        <is>
          <t>32285001654523</t>
        </is>
      </c>
      <c r="BD278" t="inlineStr">
        <is>
          <t>893436967</t>
        </is>
      </c>
    </row>
    <row r="279">
      <c r="A279" t="inlineStr">
        <is>
          <t>No</t>
        </is>
      </c>
      <c r="B279" t="inlineStr">
        <is>
          <t>NA735.L3 V4 1977</t>
        </is>
      </c>
      <c r="C279" t="inlineStr">
        <is>
          <t>0                      NA 0735000L  3                  V  4           1977</t>
        </is>
      </c>
      <c r="D279" t="inlineStr">
        <is>
          <t>Learning from Las Vegas : the forgotten symbolism of architectural form / Robert Venturi, Denise Scott Brown, Steven Izenour.</t>
        </is>
      </c>
      <c r="F279" t="inlineStr">
        <is>
          <t>No</t>
        </is>
      </c>
      <c r="G279" t="inlineStr">
        <is>
          <t>1</t>
        </is>
      </c>
      <c r="H279" t="inlineStr">
        <is>
          <t>No</t>
        </is>
      </c>
      <c r="I279" t="inlineStr">
        <is>
          <t>No</t>
        </is>
      </c>
      <c r="J279" t="inlineStr">
        <is>
          <t>0</t>
        </is>
      </c>
      <c r="K279" t="inlineStr">
        <is>
          <t>Venturi, Robert.</t>
        </is>
      </c>
      <c r="L279" t="inlineStr">
        <is>
          <t>Cambridge, Mass. : MIT Press, c1977</t>
        </is>
      </c>
      <c r="M279" t="inlineStr">
        <is>
          <t>1977</t>
        </is>
      </c>
      <c r="O279" t="inlineStr">
        <is>
          <t>eng</t>
        </is>
      </c>
      <c r="P279" t="inlineStr">
        <is>
          <t>mau</t>
        </is>
      </c>
      <c r="R279" t="inlineStr">
        <is>
          <t xml:space="preserve">NA </t>
        </is>
      </c>
      <c r="S279" t="n">
        <v>11</v>
      </c>
      <c r="T279" t="n">
        <v>11</v>
      </c>
      <c r="U279" t="inlineStr">
        <is>
          <t>2009-02-23</t>
        </is>
      </c>
      <c r="V279" t="inlineStr">
        <is>
          <t>2009-02-23</t>
        </is>
      </c>
      <c r="W279" t="inlineStr">
        <is>
          <t>1993-08-05</t>
        </is>
      </c>
      <c r="X279" t="inlineStr">
        <is>
          <t>1993-08-05</t>
        </is>
      </c>
      <c r="Y279" t="n">
        <v>899</v>
      </c>
      <c r="Z279" t="n">
        <v>693</v>
      </c>
      <c r="AA279" t="n">
        <v>766</v>
      </c>
      <c r="AB279" t="n">
        <v>5</v>
      </c>
      <c r="AC279" t="n">
        <v>5</v>
      </c>
      <c r="AD279" t="n">
        <v>36</v>
      </c>
      <c r="AE279" t="n">
        <v>37</v>
      </c>
      <c r="AF279" t="n">
        <v>15</v>
      </c>
      <c r="AG279" t="n">
        <v>15</v>
      </c>
      <c r="AH279" t="n">
        <v>7</v>
      </c>
      <c r="AI279" t="n">
        <v>7</v>
      </c>
      <c r="AJ279" t="n">
        <v>19</v>
      </c>
      <c r="AK279" t="n">
        <v>20</v>
      </c>
      <c r="AL279" t="n">
        <v>4</v>
      </c>
      <c r="AM279" t="n">
        <v>4</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HYPERLINK("https://creighton-primo.hosted.exlibrisgroup.com/primo-explore/search?tab=default_tab&amp;search_scope=EVERYTHING&amp;vid=01CRU&amp;lang=en_US&amp;offset=0&amp;query=any,contains,991004244189702656","Catalog Record")</f>
        <v/>
      </c>
      <c r="AT279">
        <f>HYPERLINK("http://www.worldcat.org/oclc/2797808","WorldCat Record")</f>
        <v/>
      </c>
      <c r="AU279" t="inlineStr">
        <is>
          <t>4924279118:eng</t>
        </is>
      </c>
      <c r="AV279" t="inlineStr">
        <is>
          <t>2797808</t>
        </is>
      </c>
      <c r="AW279" t="inlineStr">
        <is>
          <t>991004244189702656</t>
        </is>
      </c>
      <c r="AX279" t="inlineStr">
        <is>
          <t>991004244189702656</t>
        </is>
      </c>
      <c r="AY279" t="inlineStr">
        <is>
          <t>2265601400002656</t>
        </is>
      </c>
      <c r="AZ279" t="inlineStr">
        <is>
          <t>BOOK</t>
        </is>
      </c>
      <c r="BB279" t="inlineStr">
        <is>
          <t>9780262220200</t>
        </is>
      </c>
      <c r="BC279" t="inlineStr">
        <is>
          <t>32285001750891</t>
        </is>
      </c>
      <c r="BD279" t="inlineStr">
        <is>
          <t>893624505</t>
        </is>
      </c>
    </row>
    <row r="280">
      <c r="A280" t="inlineStr">
        <is>
          <t>No</t>
        </is>
      </c>
      <c r="B280" t="inlineStr">
        <is>
          <t>NA735.N5 S734 1995</t>
        </is>
      </c>
      <c r="C280" t="inlineStr">
        <is>
          <t>0                      NA 0735000N  5                  S  734         1995</t>
        </is>
      </c>
      <c r="D280" t="inlineStr">
        <is>
          <t>New York 1960 : architecture and urbanism between the Second World War and the Bicentennial / Robert A.M. Stern, Thomas Mellins, David Fishman.</t>
        </is>
      </c>
      <c r="F280" t="inlineStr">
        <is>
          <t>No</t>
        </is>
      </c>
      <c r="G280" t="inlineStr">
        <is>
          <t>1</t>
        </is>
      </c>
      <c r="H280" t="inlineStr">
        <is>
          <t>No</t>
        </is>
      </c>
      <c r="I280" t="inlineStr">
        <is>
          <t>No</t>
        </is>
      </c>
      <c r="J280" t="inlineStr">
        <is>
          <t>0</t>
        </is>
      </c>
      <c r="K280" t="inlineStr">
        <is>
          <t>Stern, Robert A. M.</t>
        </is>
      </c>
      <c r="L280" t="inlineStr">
        <is>
          <t>New York, NY : Monacelli Press, 1995.</t>
        </is>
      </c>
      <c r="M280" t="inlineStr">
        <is>
          <t>1995</t>
        </is>
      </c>
      <c r="O280" t="inlineStr">
        <is>
          <t>eng</t>
        </is>
      </c>
      <c r="P280" t="inlineStr">
        <is>
          <t>nyu</t>
        </is>
      </c>
      <c r="R280" t="inlineStr">
        <is>
          <t xml:space="preserve">NA </t>
        </is>
      </c>
      <c r="S280" t="n">
        <v>10</v>
      </c>
      <c r="T280" t="n">
        <v>10</v>
      </c>
      <c r="U280" t="inlineStr">
        <is>
          <t>2001-09-12</t>
        </is>
      </c>
      <c r="V280" t="inlineStr">
        <is>
          <t>2001-09-12</t>
        </is>
      </c>
      <c r="W280" t="inlineStr">
        <is>
          <t>1995-05-22</t>
        </is>
      </c>
      <c r="X280" t="inlineStr">
        <is>
          <t>1995-05-22</t>
        </is>
      </c>
      <c r="Y280" t="n">
        <v>405</v>
      </c>
      <c r="Z280" t="n">
        <v>320</v>
      </c>
      <c r="AA280" t="n">
        <v>410</v>
      </c>
      <c r="AB280" t="n">
        <v>2</v>
      </c>
      <c r="AC280" t="n">
        <v>3</v>
      </c>
      <c r="AD280" t="n">
        <v>10</v>
      </c>
      <c r="AE280" t="n">
        <v>13</v>
      </c>
      <c r="AF280" t="n">
        <v>2</v>
      </c>
      <c r="AG280" t="n">
        <v>3</v>
      </c>
      <c r="AH280" t="n">
        <v>3</v>
      </c>
      <c r="AI280" t="n">
        <v>3</v>
      </c>
      <c r="AJ280" t="n">
        <v>5</v>
      </c>
      <c r="AK280" t="n">
        <v>7</v>
      </c>
      <c r="AL280" t="n">
        <v>1</v>
      </c>
      <c r="AM280" t="n">
        <v>2</v>
      </c>
      <c r="AN280" t="n">
        <v>0</v>
      </c>
      <c r="AO280" t="n">
        <v>0</v>
      </c>
      <c r="AP280" t="inlineStr">
        <is>
          <t>No</t>
        </is>
      </c>
      <c r="AQ280" t="inlineStr">
        <is>
          <t>Yes</t>
        </is>
      </c>
      <c r="AR280">
        <f>HYPERLINK("http://catalog.hathitrust.org/Record/003002580","HathiTrust Record")</f>
        <v/>
      </c>
      <c r="AS280">
        <f>HYPERLINK("https://creighton-primo.hosted.exlibrisgroup.com/primo-explore/search?tab=default_tab&amp;search_scope=EVERYTHING&amp;vid=01CRU&amp;lang=en_US&amp;offset=0&amp;query=any,contains,991002468289702656","Catalog Record")</f>
        <v/>
      </c>
      <c r="AT280">
        <f>HYPERLINK("http://www.worldcat.org/oclc/32159240","WorldCat Record")</f>
        <v/>
      </c>
      <c r="AU280" t="inlineStr">
        <is>
          <t>621575:eng</t>
        </is>
      </c>
      <c r="AV280" t="inlineStr">
        <is>
          <t>32159240</t>
        </is>
      </c>
      <c r="AW280" t="inlineStr">
        <is>
          <t>991002468289702656</t>
        </is>
      </c>
      <c r="AX280" t="inlineStr">
        <is>
          <t>991002468289702656</t>
        </is>
      </c>
      <c r="AY280" t="inlineStr">
        <is>
          <t>2258249030002656</t>
        </is>
      </c>
      <c r="AZ280" t="inlineStr">
        <is>
          <t>BOOK</t>
        </is>
      </c>
      <c r="BB280" t="inlineStr">
        <is>
          <t>9781885254023</t>
        </is>
      </c>
      <c r="BC280" t="inlineStr">
        <is>
          <t>32285002046414</t>
        </is>
      </c>
      <c r="BD280" t="inlineStr">
        <is>
          <t>893322979</t>
        </is>
      </c>
    </row>
    <row r="281">
      <c r="A281" t="inlineStr">
        <is>
          <t>No</t>
        </is>
      </c>
      <c r="B281" t="inlineStr">
        <is>
          <t>NA735.W3 J3</t>
        </is>
      </c>
      <c r="C281" t="inlineStr">
        <is>
          <t>0                      NA 0735000W  3                  J  3</t>
        </is>
      </c>
      <c r="D281" t="inlineStr">
        <is>
          <t>A guide to the architecture of Washington, D.C. With an introd. by Francis Donald Lethbridge.</t>
        </is>
      </c>
      <c r="F281" t="inlineStr">
        <is>
          <t>No</t>
        </is>
      </c>
      <c r="G281" t="inlineStr">
        <is>
          <t>1</t>
        </is>
      </c>
      <c r="H281" t="inlineStr">
        <is>
          <t>No</t>
        </is>
      </c>
      <c r="I281" t="inlineStr">
        <is>
          <t>No</t>
        </is>
      </c>
      <c r="J281" t="inlineStr">
        <is>
          <t>0</t>
        </is>
      </c>
      <c r="K281" t="inlineStr">
        <is>
          <t>Jacobsen, Hugh Newell editor.</t>
        </is>
      </c>
      <c r="L281" t="inlineStr">
        <is>
          <t>New York, Published for the Washington Metropolitan Chapter, American Institute of Architects by F. A. Praeger [1965]</t>
        </is>
      </c>
      <c r="M281" t="inlineStr">
        <is>
          <t>1965</t>
        </is>
      </c>
      <c r="O281" t="inlineStr">
        <is>
          <t>eng</t>
        </is>
      </c>
      <c r="P281" t="inlineStr">
        <is>
          <t>nyu</t>
        </is>
      </c>
      <c r="R281" t="inlineStr">
        <is>
          <t xml:space="preserve">NA </t>
        </is>
      </c>
      <c r="S281" t="n">
        <v>4</v>
      </c>
      <c r="T281" t="n">
        <v>4</v>
      </c>
      <c r="U281" t="inlineStr">
        <is>
          <t>2006-04-30</t>
        </is>
      </c>
      <c r="V281" t="inlineStr">
        <is>
          <t>2006-04-30</t>
        </is>
      </c>
      <c r="W281" t="inlineStr">
        <is>
          <t>1997-07-01</t>
        </is>
      </c>
      <c r="X281" t="inlineStr">
        <is>
          <t>1997-07-01</t>
        </is>
      </c>
      <c r="Y281" t="n">
        <v>634</v>
      </c>
      <c r="Z281" t="n">
        <v>592</v>
      </c>
      <c r="AA281" t="n">
        <v>719</v>
      </c>
      <c r="AB281" t="n">
        <v>1</v>
      </c>
      <c r="AC281" t="n">
        <v>3</v>
      </c>
      <c r="AD281" t="n">
        <v>9</v>
      </c>
      <c r="AE281" t="n">
        <v>12</v>
      </c>
      <c r="AF281" t="n">
        <v>3</v>
      </c>
      <c r="AG281" t="n">
        <v>4</v>
      </c>
      <c r="AH281" t="n">
        <v>4</v>
      </c>
      <c r="AI281" t="n">
        <v>4</v>
      </c>
      <c r="AJ281" t="n">
        <v>6</v>
      </c>
      <c r="AK281" t="n">
        <v>7</v>
      </c>
      <c r="AL281" t="n">
        <v>0</v>
      </c>
      <c r="AM281" t="n">
        <v>2</v>
      </c>
      <c r="AN281" t="n">
        <v>0</v>
      </c>
      <c r="AO281" t="n">
        <v>0</v>
      </c>
      <c r="AP281" t="inlineStr">
        <is>
          <t>No</t>
        </is>
      </c>
      <c r="AQ281" t="inlineStr">
        <is>
          <t>Yes</t>
        </is>
      </c>
      <c r="AR281">
        <f>HYPERLINK("http://catalog.hathitrust.org/Record/000723709","HathiTrust Record")</f>
        <v/>
      </c>
      <c r="AS281">
        <f>HYPERLINK("https://creighton-primo.hosted.exlibrisgroup.com/primo-explore/search?tab=default_tab&amp;search_scope=EVERYTHING&amp;vid=01CRU&amp;lang=en_US&amp;offset=0&amp;query=any,contains,991003625879702656","Catalog Record")</f>
        <v/>
      </c>
      <c r="AT281">
        <f>HYPERLINK("http://www.worldcat.org/oclc/1217170","WorldCat Record")</f>
        <v/>
      </c>
      <c r="AU281" t="inlineStr">
        <is>
          <t>3855364667:eng</t>
        </is>
      </c>
      <c r="AV281" t="inlineStr">
        <is>
          <t>1217170</t>
        </is>
      </c>
      <c r="AW281" t="inlineStr">
        <is>
          <t>991003625879702656</t>
        </is>
      </c>
      <c r="AX281" t="inlineStr">
        <is>
          <t>991003625879702656</t>
        </is>
      </c>
      <c r="AY281" t="inlineStr">
        <is>
          <t>2272229920002656</t>
        </is>
      </c>
      <c r="AZ281" t="inlineStr">
        <is>
          <t>BOOK</t>
        </is>
      </c>
      <c r="BC281" t="inlineStr">
        <is>
          <t>32285002861416</t>
        </is>
      </c>
      <c r="BD281" t="inlineStr">
        <is>
          <t>893617537</t>
        </is>
      </c>
    </row>
    <row r="282">
      <c r="A282" t="inlineStr">
        <is>
          <t>No</t>
        </is>
      </c>
      <c r="B282" t="inlineStr">
        <is>
          <t>NA736 .K7 1989</t>
        </is>
      </c>
      <c r="C282" t="inlineStr">
        <is>
          <t>0                      NA 0736000K  7           1989</t>
        </is>
      </c>
      <c r="D282" t="inlineStr">
        <is>
          <t>American architects : a survey of award-winning contemporaries and their notable works / Les Krantz.</t>
        </is>
      </c>
      <c r="F282" t="inlineStr">
        <is>
          <t>No</t>
        </is>
      </c>
      <c r="G282" t="inlineStr">
        <is>
          <t>1</t>
        </is>
      </c>
      <c r="H282" t="inlineStr">
        <is>
          <t>No</t>
        </is>
      </c>
      <c r="I282" t="inlineStr">
        <is>
          <t>No</t>
        </is>
      </c>
      <c r="J282" t="inlineStr">
        <is>
          <t>0</t>
        </is>
      </c>
      <c r="K282" t="inlineStr">
        <is>
          <t>Krantz, Les.</t>
        </is>
      </c>
      <c r="L282" t="inlineStr">
        <is>
          <t>New York : Facts on File, c1989.</t>
        </is>
      </c>
      <c r="M282" t="inlineStr">
        <is>
          <t>1989</t>
        </is>
      </c>
      <c r="O282" t="inlineStr">
        <is>
          <t>eng</t>
        </is>
      </c>
      <c r="P282" t="inlineStr">
        <is>
          <t>nyu</t>
        </is>
      </c>
      <c r="R282" t="inlineStr">
        <is>
          <t xml:space="preserve">NA </t>
        </is>
      </c>
      <c r="S282" t="n">
        <v>9</v>
      </c>
      <c r="T282" t="n">
        <v>9</v>
      </c>
      <c r="U282" t="inlineStr">
        <is>
          <t>2005-10-10</t>
        </is>
      </c>
      <c r="V282" t="inlineStr">
        <is>
          <t>2005-10-10</t>
        </is>
      </c>
      <c r="W282" t="inlineStr">
        <is>
          <t>1991-01-30</t>
        </is>
      </c>
      <c r="X282" t="inlineStr">
        <is>
          <t>1991-01-30</t>
        </is>
      </c>
      <c r="Y282" t="n">
        <v>405</v>
      </c>
      <c r="Z282" t="n">
        <v>335</v>
      </c>
      <c r="AA282" t="n">
        <v>350</v>
      </c>
      <c r="AB282" t="n">
        <v>4</v>
      </c>
      <c r="AC282" t="n">
        <v>5</v>
      </c>
      <c r="AD282" t="n">
        <v>10</v>
      </c>
      <c r="AE282" t="n">
        <v>11</v>
      </c>
      <c r="AF282" t="n">
        <v>5</v>
      </c>
      <c r="AG282" t="n">
        <v>5</v>
      </c>
      <c r="AH282" t="n">
        <v>3</v>
      </c>
      <c r="AI282" t="n">
        <v>3</v>
      </c>
      <c r="AJ282" t="n">
        <v>2</v>
      </c>
      <c r="AK282" t="n">
        <v>2</v>
      </c>
      <c r="AL282" t="n">
        <v>2</v>
      </c>
      <c r="AM282" t="n">
        <v>3</v>
      </c>
      <c r="AN282" t="n">
        <v>0</v>
      </c>
      <c r="AO282" t="n">
        <v>0</v>
      </c>
      <c r="AP282" t="inlineStr">
        <is>
          <t>No</t>
        </is>
      </c>
      <c r="AQ282" t="inlineStr">
        <is>
          <t>Yes</t>
        </is>
      </c>
      <c r="AR282">
        <f>HYPERLINK("http://catalog.hathitrust.org/Record/001833913","HathiTrust Record")</f>
        <v/>
      </c>
      <c r="AS282">
        <f>HYPERLINK("https://creighton-primo.hosted.exlibrisgroup.com/primo-explore/search?tab=default_tab&amp;search_scope=EVERYTHING&amp;vid=01CRU&amp;lang=en_US&amp;offset=0&amp;query=any,contains,991001467629702656","Catalog Record")</f>
        <v/>
      </c>
      <c r="AT282">
        <f>HYPERLINK("http://www.worldcat.org/oclc/19515287","WorldCat Record")</f>
        <v/>
      </c>
      <c r="AU282" t="inlineStr">
        <is>
          <t>308755310:eng</t>
        </is>
      </c>
      <c r="AV282" t="inlineStr">
        <is>
          <t>19515287</t>
        </is>
      </c>
      <c r="AW282" t="inlineStr">
        <is>
          <t>991001467629702656</t>
        </is>
      </c>
      <c r="AX282" t="inlineStr">
        <is>
          <t>991001467629702656</t>
        </is>
      </c>
      <c r="AY282" t="inlineStr">
        <is>
          <t>2261343610002656</t>
        </is>
      </c>
      <c r="AZ282" t="inlineStr">
        <is>
          <t>BOOK</t>
        </is>
      </c>
      <c r="BB282" t="inlineStr">
        <is>
          <t>9780816014200</t>
        </is>
      </c>
      <c r="BC282" t="inlineStr">
        <is>
          <t>32285000298975</t>
        </is>
      </c>
      <c r="BD282" t="inlineStr">
        <is>
          <t>893615149</t>
        </is>
      </c>
    </row>
    <row r="283">
      <c r="A283" t="inlineStr">
        <is>
          <t>No</t>
        </is>
      </c>
      <c r="B283" t="inlineStr">
        <is>
          <t>NA737.B8 P5 1968</t>
        </is>
      </c>
      <c r="C283" t="inlineStr">
        <is>
          <t>0                      NA 0737000B  8                  P  5           1968</t>
        </is>
      </c>
      <c r="D283" t="inlineStr">
        <is>
          <t>Charles Bulfinch, architect and citizen / by Charles A. Place.</t>
        </is>
      </c>
      <c r="F283" t="inlineStr">
        <is>
          <t>No</t>
        </is>
      </c>
      <c r="G283" t="inlineStr">
        <is>
          <t>1</t>
        </is>
      </c>
      <c r="H283" t="inlineStr">
        <is>
          <t>No</t>
        </is>
      </c>
      <c r="I283" t="inlineStr">
        <is>
          <t>No</t>
        </is>
      </c>
      <c r="J283" t="inlineStr">
        <is>
          <t>0</t>
        </is>
      </c>
      <c r="K283" t="inlineStr">
        <is>
          <t>Place, Charles A. (Charles Alpheus), 1866-1940.</t>
        </is>
      </c>
      <c r="L283" t="inlineStr">
        <is>
          <t>New York : Da Capo Press, 1968 [c1925]</t>
        </is>
      </c>
      <c r="M283" t="inlineStr">
        <is>
          <t>1968</t>
        </is>
      </c>
      <c r="O283" t="inlineStr">
        <is>
          <t>eng</t>
        </is>
      </c>
      <c r="P283" t="inlineStr">
        <is>
          <t>nyu</t>
        </is>
      </c>
      <c r="Q283" t="inlineStr">
        <is>
          <t>A Da Capo Press reprint edition</t>
        </is>
      </c>
      <c r="R283" t="inlineStr">
        <is>
          <t xml:space="preserve">NA </t>
        </is>
      </c>
      <c r="S283" t="n">
        <v>13</v>
      </c>
      <c r="T283" t="n">
        <v>13</v>
      </c>
      <c r="U283" t="inlineStr">
        <is>
          <t>2005-02-22</t>
        </is>
      </c>
      <c r="V283" t="inlineStr">
        <is>
          <t>2005-02-22</t>
        </is>
      </c>
      <c r="W283" t="inlineStr">
        <is>
          <t>1992-02-28</t>
        </is>
      </c>
      <c r="X283" t="inlineStr">
        <is>
          <t>1992-02-28</t>
        </is>
      </c>
      <c r="Y283" t="n">
        <v>416</v>
      </c>
      <c r="Z283" t="n">
        <v>376</v>
      </c>
      <c r="AA283" t="n">
        <v>587</v>
      </c>
      <c r="AB283" t="n">
        <v>2</v>
      </c>
      <c r="AC283" t="n">
        <v>3</v>
      </c>
      <c r="AD283" t="n">
        <v>17</v>
      </c>
      <c r="AE283" t="n">
        <v>20</v>
      </c>
      <c r="AF283" t="n">
        <v>7</v>
      </c>
      <c r="AG283" t="n">
        <v>7</v>
      </c>
      <c r="AH283" t="n">
        <v>3</v>
      </c>
      <c r="AI283" t="n">
        <v>3</v>
      </c>
      <c r="AJ283" t="n">
        <v>9</v>
      </c>
      <c r="AK283" t="n">
        <v>11</v>
      </c>
      <c r="AL283" t="n">
        <v>1</v>
      </c>
      <c r="AM283" t="n">
        <v>2</v>
      </c>
      <c r="AN283" t="n">
        <v>0</v>
      </c>
      <c r="AO283" t="n">
        <v>0</v>
      </c>
      <c r="AP283" t="inlineStr">
        <is>
          <t>No</t>
        </is>
      </c>
      <c r="AQ283" t="inlineStr">
        <is>
          <t>Yes</t>
        </is>
      </c>
      <c r="AR283">
        <f>HYPERLINK("http://catalog.hathitrust.org/Record/000451301","HathiTrust Record")</f>
        <v/>
      </c>
      <c r="AS283">
        <f>HYPERLINK("https://creighton-primo.hosted.exlibrisgroup.com/primo-explore/search?tab=default_tab&amp;search_scope=EVERYTHING&amp;vid=01CRU&amp;lang=en_US&amp;offset=0&amp;query=any,contains,991002803549702656","Catalog Record")</f>
        <v/>
      </c>
      <c r="AT283">
        <f>HYPERLINK("http://www.worldcat.org/oclc/448684","WorldCat Record")</f>
        <v/>
      </c>
      <c r="AU283" t="inlineStr">
        <is>
          <t>255250826:eng</t>
        </is>
      </c>
      <c r="AV283" t="inlineStr">
        <is>
          <t>448684</t>
        </is>
      </c>
      <c r="AW283" t="inlineStr">
        <is>
          <t>991002803549702656</t>
        </is>
      </c>
      <c r="AX283" t="inlineStr">
        <is>
          <t>991002803549702656</t>
        </is>
      </c>
      <c r="AY283" t="inlineStr">
        <is>
          <t>2266670770002656</t>
        </is>
      </c>
      <c r="AZ283" t="inlineStr">
        <is>
          <t>BOOK</t>
        </is>
      </c>
      <c r="BC283" t="inlineStr">
        <is>
          <t>32285000978824</t>
        </is>
      </c>
      <c r="BD283" t="inlineStr">
        <is>
          <t>893530489</t>
        </is>
      </c>
    </row>
    <row r="284">
      <c r="A284" t="inlineStr">
        <is>
          <t>No</t>
        </is>
      </c>
      <c r="B284" t="inlineStr">
        <is>
          <t>NA737.G34 A2 1973</t>
        </is>
      </c>
      <c r="C284" t="inlineStr">
        <is>
          <t>0                      NA 0737000G  34                 A  2           1973</t>
        </is>
      </c>
      <c r="D284" t="inlineStr">
        <is>
          <t>Autobiography of James Gallier, architect / with a new introd. by Samuel Wilson, Jr., and a supplement of illus.</t>
        </is>
      </c>
      <c r="F284" t="inlineStr">
        <is>
          <t>No</t>
        </is>
      </c>
      <c r="G284" t="inlineStr">
        <is>
          <t>1</t>
        </is>
      </c>
      <c r="H284" t="inlineStr">
        <is>
          <t>No</t>
        </is>
      </c>
      <c r="I284" t="inlineStr">
        <is>
          <t>No</t>
        </is>
      </c>
      <c r="J284" t="inlineStr">
        <is>
          <t>0</t>
        </is>
      </c>
      <c r="K284" t="inlineStr">
        <is>
          <t>Gallier, James, 1798-</t>
        </is>
      </c>
      <c r="L284" t="inlineStr">
        <is>
          <t>New York : Da Capo Press, 1973.</t>
        </is>
      </c>
      <c r="M284" t="inlineStr">
        <is>
          <t>1973</t>
        </is>
      </c>
      <c r="O284" t="inlineStr">
        <is>
          <t>eng</t>
        </is>
      </c>
      <c r="P284" t="inlineStr">
        <is>
          <t>nyu</t>
        </is>
      </c>
      <c r="Q284" t="inlineStr">
        <is>
          <t>Da Capo Press series in architecture and decorative art ; v. 25</t>
        </is>
      </c>
      <c r="R284" t="inlineStr">
        <is>
          <t xml:space="preserve">NA </t>
        </is>
      </c>
      <c r="S284" t="n">
        <v>2</v>
      </c>
      <c r="T284" t="n">
        <v>2</v>
      </c>
      <c r="U284" t="inlineStr">
        <is>
          <t>1999-02-20</t>
        </is>
      </c>
      <c r="V284" t="inlineStr">
        <is>
          <t>1999-02-20</t>
        </is>
      </c>
      <c r="W284" t="inlineStr">
        <is>
          <t>1993-03-09</t>
        </is>
      </c>
      <c r="X284" t="inlineStr">
        <is>
          <t>1993-03-09</t>
        </is>
      </c>
      <c r="Y284" t="n">
        <v>233</v>
      </c>
      <c r="Z284" t="n">
        <v>208</v>
      </c>
      <c r="AA284" t="n">
        <v>234</v>
      </c>
      <c r="AB284" t="n">
        <v>2</v>
      </c>
      <c r="AC284" t="n">
        <v>2</v>
      </c>
      <c r="AD284" t="n">
        <v>5</v>
      </c>
      <c r="AE284" t="n">
        <v>6</v>
      </c>
      <c r="AF284" t="n">
        <v>2</v>
      </c>
      <c r="AG284" t="n">
        <v>3</v>
      </c>
      <c r="AH284" t="n">
        <v>1</v>
      </c>
      <c r="AI284" t="n">
        <v>1</v>
      </c>
      <c r="AJ284" t="n">
        <v>3</v>
      </c>
      <c r="AK284" t="n">
        <v>3</v>
      </c>
      <c r="AL284" t="n">
        <v>1</v>
      </c>
      <c r="AM284" t="n">
        <v>1</v>
      </c>
      <c r="AN284" t="n">
        <v>0</v>
      </c>
      <c r="AO284" t="n">
        <v>0</v>
      </c>
      <c r="AP284" t="inlineStr">
        <is>
          <t>No</t>
        </is>
      </c>
      <c r="AQ284" t="inlineStr">
        <is>
          <t>Yes</t>
        </is>
      </c>
      <c r="AR284">
        <f>HYPERLINK("http://catalog.hathitrust.org/Record/000452162","HathiTrust Record")</f>
        <v/>
      </c>
      <c r="AS284">
        <f>HYPERLINK("https://creighton-primo.hosted.exlibrisgroup.com/primo-explore/search?tab=default_tab&amp;search_scope=EVERYTHING&amp;vid=01CRU&amp;lang=en_US&amp;offset=0&amp;query=any,contains,991002978529702656","Catalog Record")</f>
        <v/>
      </c>
      <c r="AT284">
        <f>HYPERLINK("http://www.worldcat.org/oclc/553376","WorldCat Record")</f>
        <v/>
      </c>
      <c r="AU284" t="inlineStr">
        <is>
          <t>1603479:eng</t>
        </is>
      </c>
      <c r="AV284" t="inlineStr">
        <is>
          <t>553376</t>
        </is>
      </c>
      <c r="AW284" t="inlineStr">
        <is>
          <t>991002978529702656</t>
        </is>
      </c>
      <c r="AX284" t="inlineStr">
        <is>
          <t>991002978529702656</t>
        </is>
      </c>
      <c r="AY284" t="inlineStr">
        <is>
          <t>2258967570002656</t>
        </is>
      </c>
      <c r="AZ284" t="inlineStr">
        <is>
          <t>BOOK</t>
        </is>
      </c>
      <c r="BB284" t="inlineStr">
        <is>
          <t>9780306712470</t>
        </is>
      </c>
      <c r="BC284" t="inlineStr">
        <is>
          <t>32285001571313</t>
        </is>
      </c>
      <c r="BD284" t="inlineStr">
        <is>
          <t>893886989</t>
        </is>
      </c>
    </row>
    <row r="285">
      <c r="A285" t="inlineStr">
        <is>
          <t>No</t>
        </is>
      </c>
      <c r="B285" t="inlineStr">
        <is>
          <t>NA737.G6 O4 1983</t>
        </is>
      </c>
      <c r="C285" t="inlineStr">
        <is>
          <t>0                      NA 0737000G  6                  O  4           1983</t>
        </is>
      </c>
      <c r="D285" t="inlineStr">
        <is>
          <t>Bertram Grosvenor Goodhue / Richard Oliver.</t>
        </is>
      </c>
      <c r="F285" t="inlineStr">
        <is>
          <t>No</t>
        </is>
      </c>
      <c r="G285" t="inlineStr">
        <is>
          <t>1</t>
        </is>
      </c>
      <c r="H285" t="inlineStr">
        <is>
          <t>No</t>
        </is>
      </c>
      <c r="I285" t="inlineStr">
        <is>
          <t>No</t>
        </is>
      </c>
      <c r="J285" t="inlineStr">
        <is>
          <t>0</t>
        </is>
      </c>
      <c r="K285" t="inlineStr">
        <is>
          <t>Oliver, Richard, 1942-</t>
        </is>
      </c>
      <c r="L285" t="inlineStr">
        <is>
          <t>New York : Architectural History Foundation ; Cambridge, Mass. : MIT Press, c1983.</t>
        </is>
      </c>
      <c r="M285" t="inlineStr">
        <is>
          <t>1983</t>
        </is>
      </c>
      <c r="O285" t="inlineStr">
        <is>
          <t>eng</t>
        </is>
      </c>
      <c r="P285" t="inlineStr">
        <is>
          <t>nyu</t>
        </is>
      </c>
      <c r="Q285" t="inlineStr">
        <is>
          <t>American monograph series</t>
        </is>
      </c>
      <c r="R285" t="inlineStr">
        <is>
          <t xml:space="preserve">NA </t>
        </is>
      </c>
      <c r="S285" t="n">
        <v>6</v>
      </c>
      <c r="T285" t="n">
        <v>6</v>
      </c>
      <c r="U285" t="inlineStr">
        <is>
          <t>2002-04-08</t>
        </is>
      </c>
      <c r="V285" t="inlineStr">
        <is>
          <t>2002-04-08</t>
        </is>
      </c>
      <c r="W285" t="inlineStr">
        <is>
          <t>1993-05-13</t>
        </is>
      </c>
      <c r="X285" t="inlineStr">
        <is>
          <t>1993-05-13</t>
        </is>
      </c>
      <c r="Y285" t="n">
        <v>401</v>
      </c>
      <c r="Z285" t="n">
        <v>335</v>
      </c>
      <c r="AA285" t="n">
        <v>341</v>
      </c>
      <c r="AB285" t="n">
        <v>4</v>
      </c>
      <c r="AC285" t="n">
        <v>4</v>
      </c>
      <c r="AD285" t="n">
        <v>11</v>
      </c>
      <c r="AE285" t="n">
        <v>11</v>
      </c>
      <c r="AF285" t="n">
        <v>4</v>
      </c>
      <c r="AG285" t="n">
        <v>4</v>
      </c>
      <c r="AH285" t="n">
        <v>4</v>
      </c>
      <c r="AI285" t="n">
        <v>4</v>
      </c>
      <c r="AJ285" t="n">
        <v>4</v>
      </c>
      <c r="AK285" t="n">
        <v>4</v>
      </c>
      <c r="AL285" t="n">
        <v>1</v>
      </c>
      <c r="AM285" t="n">
        <v>1</v>
      </c>
      <c r="AN285" t="n">
        <v>0</v>
      </c>
      <c r="AO285" t="n">
        <v>0</v>
      </c>
      <c r="AP285" t="inlineStr">
        <is>
          <t>No</t>
        </is>
      </c>
      <c r="AQ285" t="inlineStr">
        <is>
          <t>Yes</t>
        </is>
      </c>
      <c r="AR285">
        <f>HYPERLINK("http://catalog.hathitrust.org/Record/000152005","HathiTrust Record")</f>
        <v/>
      </c>
      <c r="AS285">
        <f>HYPERLINK("https://creighton-primo.hosted.exlibrisgroup.com/primo-explore/search?tab=default_tab&amp;search_scope=EVERYTHING&amp;vid=01CRU&amp;lang=en_US&amp;offset=0&amp;query=any,contains,991005245959702656","Catalog Record")</f>
        <v/>
      </c>
      <c r="AT285">
        <f>HYPERLINK("http://www.worldcat.org/oclc/8452638","WorldCat Record")</f>
        <v/>
      </c>
      <c r="AU285" t="inlineStr">
        <is>
          <t>31469065:eng</t>
        </is>
      </c>
      <c r="AV285" t="inlineStr">
        <is>
          <t>8452638</t>
        </is>
      </c>
      <c r="AW285" t="inlineStr">
        <is>
          <t>991005245959702656</t>
        </is>
      </c>
      <c r="AX285" t="inlineStr">
        <is>
          <t>991005245959702656</t>
        </is>
      </c>
      <c r="AY285" t="inlineStr">
        <is>
          <t>2262947390002656</t>
        </is>
      </c>
      <c r="AZ285" t="inlineStr">
        <is>
          <t>BOOK</t>
        </is>
      </c>
      <c r="BB285" t="inlineStr">
        <is>
          <t>9780262150248</t>
        </is>
      </c>
      <c r="BC285" t="inlineStr">
        <is>
          <t>32285001654556</t>
        </is>
      </c>
      <c r="BD285" t="inlineStr">
        <is>
          <t>893431113</t>
        </is>
      </c>
    </row>
    <row r="286">
      <c r="A286" t="inlineStr">
        <is>
          <t>No</t>
        </is>
      </c>
      <c r="B286" t="inlineStr">
        <is>
          <t>NA737.J4 G84 1973</t>
        </is>
      </c>
      <c r="C286" t="inlineStr">
        <is>
          <t>0                      NA 0737000J  4                  G  84          1973</t>
        </is>
      </c>
      <c r="D286" t="inlineStr">
        <is>
          <t>Mr. Jefferson, architect / [by] Desmond Guinness &amp; Julius Trousdale Sadler, Jr.</t>
        </is>
      </c>
      <c r="F286" t="inlineStr">
        <is>
          <t>No</t>
        </is>
      </c>
      <c r="G286" t="inlineStr">
        <is>
          <t>1</t>
        </is>
      </c>
      <c r="H286" t="inlineStr">
        <is>
          <t>No</t>
        </is>
      </c>
      <c r="I286" t="inlineStr">
        <is>
          <t>No</t>
        </is>
      </c>
      <c r="J286" t="inlineStr">
        <is>
          <t>0</t>
        </is>
      </c>
      <c r="K286" t="inlineStr">
        <is>
          <t>Guinness, Desmond.</t>
        </is>
      </c>
      <c r="L286" t="inlineStr">
        <is>
          <t>New York : Viking Press, [1973]</t>
        </is>
      </c>
      <c r="M286" t="inlineStr">
        <is>
          <t>1973</t>
        </is>
      </c>
      <c r="O286" t="inlineStr">
        <is>
          <t>eng</t>
        </is>
      </c>
      <c r="P286" t="inlineStr">
        <is>
          <t>nyu</t>
        </is>
      </c>
      <c r="Q286" t="inlineStr">
        <is>
          <t>A Studio book</t>
        </is>
      </c>
      <c r="R286" t="inlineStr">
        <is>
          <t xml:space="preserve">NA </t>
        </is>
      </c>
      <c r="S286" t="n">
        <v>11</v>
      </c>
      <c r="T286" t="n">
        <v>11</v>
      </c>
      <c r="U286" t="inlineStr">
        <is>
          <t>1999-02-21</t>
        </is>
      </c>
      <c r="V286" t="inlineStr">
        <is>
          <t>1999-02-21</t>
        </is>
      </c>
      <c r="W286" t="inlineStr">
        <is>
          <t>1993-03-09</t>
        </is>
      </c>
      <c r="X286" t="inlineStr">
        <is>
          <t>1993-03-09</t>
        </is>
      </c>
      <c r="Y286" t="n">
        <v>719</v>
      </c>
      <c r="Z286" t="n">
        <v>666</v>
      </c>
      <c r="AA286" t="n">
        <v>672</v>
      </c>
      <c r="AB286" t="n">
        <v>4</v>
      </c>
      <c r="AC286" t="n">
        <v>4</v>
      </c>
      <c r="AD286" t="n">
        <v>15</v>
      </c>
      <c r="AE286" t="n">
        <v>15</v>
      </c>
      <c r="AF286" t="n">
        <v>4</v>
      </c>
      <c r="AG286" t="n">
        <v>4</v>
      </c>
      <c r="AH286" t="n">
        <v>6</v>
      </c>
      <c r="AI286" t="n">
        <v>6</v>
      </c>
      <c r="AJ286" t="n">
        <v>5</v>
      </c>
      <c r="AK286" t="n">
        <v>5</v>
      </c>
      <c r="AL286" t="n">
        <v>2</v>
      </c>
      <c r="AM286" t="n">
        <v>2</v>
      </c>
      <c r="AN286" t="n">
        <v>0</v>
      </c>
      <c r="AO286" t="n">
        <v>0</v>
      </c>
      <c r="AP286" t="inlineStr">
        <is>
          <t>No</t>
        </is>
      </c>
      <c r="AQ286" t="inlineStr">
        <is>
          <t>Yes</t>
        </is>
      </c>
      <c r="AR286">
        <f>HYPERLINK("http://catalog.hathitrust.org/Record/000451518","HathiTrust Record")</f>
        <v/>
      </c>
      <c r="AS286">
        <f>HYPERLINK("https://creighton-primo.hosted.exlibrisgroup.com/primo-explore/search?tab=default_tab&amp;search_scope=EVERYTHING&amp;vid=01CRU&amp;lang=en_US&amp;offset=0&amp;query=any,contains,991003079169702656","Catalog Record")</f>
        <v/>
      </c>
      <c r="AT286">
        <f>HYPERLINK("http://www.worldcat.org/oclc/631913","WorldCat Record")</f>
        <v/>
      </c>
      <c r="AU286" t="inlineStr">
        <is>
          <t>1744060:eng</t>
        </is>
      </c>
      <c r="AV286" t="inlineStr">
        <is>
          <t>631913</t>
        </is>
      </c>
      <c r="AW286" t="inlineStr">
        <is>
          <t>991003079169702656</t>
        </is>
      </c>
      <c r="AX286" t="inlineStr">
        <is>
          <t>991003079169702656</t>
        </is>
      </c>
      <c r="AY286" t="inlineStr">
        <is>
          <t>2263099680002656</t>
        </is>
      </c>
      <c r="AZ286" t="inlineStr">
        <is>
          <t>BOOK</t>
        </is>
      </c>
      <c r="BB286" t="inlineStr">
        <is>
          <t>9780670492619</t>
        </is>
      </c>
      <c r="BC286" t="inlineStr">
        <is>
          <t>32285001571305</t>
        </is>
      </c>
      <c r="BD286" t="inlineStr">
        <is>
          <t>893422143</t>
        </is>
      </c>
    </row>
    <row r="287">
      <c r="A287" t="inlineStr">
        <is>
          <t>No</t>
        </is>
      </c>
      <c r="B287" t="inlineStr">
        <is>
          <t>NA737.J4 M3 1984</t>
        </is>
      </c>
      <c r="C287" t="inlineStr">
        <is>
          <t>0                      NA 0737000J  4                  M  3           1984</t>
        </is>
      </c>
      <c r="D287" t="inlineStr">
        <is>
          <t>Thomas Jefferson's architectural drawings / compiled and with commentary and a check list by Frederick Doveton Nichols.</t>
        </is>
      </c>
      <c r="F287" t="inlineStr">
        <is>
          <t>No</t>
        </is>
      </c>
      <c r="G287" t="inlineStr">
        <is>
          <t>1</t>
        </is>
      </c>
      <c r="H287" t="inlineStr">
        <is>
          <t>No</t>
        </is>
      </c>
      <c r="I287" t="inlineStr">
        <is>
          <t>No</t>
        </is>
      </c>
      <c r="J287" t="inlineStr">
        <is>
          <t>0</t>
        </is>
      </c>
      <c r="K287" t="inlineStr">
        <is>
          <t>Jefferson, Thomas, 1743-1826.</t>
        </is>
      </c>
      <c r="L287" t="inlineStr">
        <is>
          <t>Boston : Massachusetts Historical Society ; Charlottesville : Thomas Jefferson Memorial Foundation and The University Press of Virginia, 1984, c1961.</t>
        </is>
      </c>
      <c r="M287" t="inlineStr">
        <is>
          <t>1984</t>
        </is>
      </c>
      <c r="N287" t="inlineStr">
        <is>
          <t>5th ed., rev.</t>
        </is>
      </c>
      <c r="O287" t="inlineStr">
        <is>
          <t>eng</t>
        </is>
      </c>
      <c r="P287" t="inlineStr">
        <is>
          <t>mau</t>
        </is>
      </c>
      <c r="R287" t="inlineStr">
        <is>
          <t xml:space="preserve">NA </t>
        </is>
      </c>
      <c r="S287" t="n">
        <v>7</v>
      </c>
      <c r="T287" t="n">
        <v>7</v>
      </c>
      <c r="U287" t="inlineStr">
        <is>
          <t>2009-03-04</t>
        </is>
      </c>
      <c r="V287" t="inlineStr">
        <is>
          <t>2009-03-04</t>
        </is>
      </c>
      <c r="W287" t="inlineStr">
        <is>
          <t>1993-04-15</t>
        </is>
      </c>
      <c r="X287" t="inlineStr">
        <is>
          <t>1993-04-15</t>
        </is>
      </c>
      <c r="Y287" t="n">
        <v>33</v>
      </c>
      <c r="Z287" t="n">
        <v>32</v>
      </c>
      <c r="AA287" t="n">
        <v>269</v>
      </c>
      <c r="AB287" t="n">
        <v>1</v>
      </c>
      <c r="AC287" t="n">
        <v>2</v>
      </c>
      <c r="AD287" t="n">
        <v>4</v>
      </c>
      <c r="AE287" t="n">
        <v>12</v>
      </c>
      <c r="AF287" t="n">
        <v>2</v>
      </c>
      <c r="AG287" t="n">
        <v>7</v>
      </c>
      <c r="AH287" t="n">
        <v>1</v>
      </c>
      <c r="AI287" t="n">
        <v>3</v>
      </c>
      <c r="AJ287" t="n">
        <v>2</v>
      </c>
      <c r="AK287" t="n">
        <v>3</v>
      </c>
      <c r="AL287" t="n">
        <v>0</v>
      </c>
      <c r="AM287" t="n">
        <v>1</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HYPERLINK("https://creighton-primo.hosted.exlibrisgroup.com/primo-explore/search?tab=default_tab&amp;search_scope=EVERYTHING&amp;vid=01CRU&amp;lang=en_US&amp;offset=0&amp;query=any,contains,991000681809702656","Catalog Record")</f>
        <v/>
      </c>
      <c r="AT287">
        <f>HYPERLINK("http://www.worldcat.org/oclc/12406353","WorldCat Record")</f>
        <v/>
      </c>
      <c r="AU287" t="inlineStr">
        <is>
          <t>1936917:eng</t>
        </is>
      </c>
      <c r="AV287" t="inlineStr">
        <is>
          <t>12406353</t>
        </is>
      </c>
      <c r="AW287" t="inlineStr">
        <is>
          <t>991000681809702656</t>
        </is>
      </c>
      <c r="AX287" t="inlineStr">
        <is>
          <t>991000681809702656</t>
        </is>
      </c>
      <c r="AY287" t="inlineStr">
        <is>
          <t>2256916250002656</t>
        </is>
      </c>
      <c r="AZ287" t="inlineStr">
        <is>
          <t>BOOK</t>
        </is>
      </c>
      <c r="BB287" t="inlineStr">
        <is>
          <t>9780813903286</t>
        </is>
      </c>
      <c r="BC287" t="inlineStr">
        <is>
          <t>32285001620243</t>
        </is>
      </c>
      <c r="BD287" t="inlineStr">
        <is>
          <t>893897122</t>
        </is>
      </c>
    </row>
    <row r="288">
      <c r="A288" t="inlineStr">
        <is>
          <t>No</t>
        </is>
      </c>
      <c r="B288" t="inlineStr">
        <is>
          <t>NA737.L34 H3</t>
        </is>
      </c>
      <c r="C288" t="inlineStr">
        <is>
          <t>0                      NA 0737000L  34                 H  3</t>
        </is>
      </c>
      <c r="D288" t="inlineStr">
        <is>
          <t>Benjamin Henry Latrobe.</t>
        </is>
      </c>
      <c r="F288" t="inlineStr">
        <is>
          <t>No</t>
        </is>
      </c>
      <c r="G288" t="inlineStr">
        <is>
          <t>1</t>
        </is>
      </c>
      <c r="H288" t="inlineStr">
        <is>
          <t>No</t>
        </is>
      </c>
      <c r="I288" t="inlineStr">
        <is>
          <t>No</t>
        </is>
      </c>
      <c r="J288" t="inlineStr">
        <is>
          <t>0</t>
        </is>
      </c>
      <c r="K288" t="inlineStr">
        <is>
          <t>Hamlin, Talbot, 1889-1956.</t>
        </is>
      </c>
      <c r="L288" t="inlineStr">
        <is>
          <t>New York : Oxford University Press, 1955.</t>
        </is>
      </c>
      <c r="M288" t="inlineStr">
        <is>
          <t>1955</t>
        </is>
      </c>
      <c r="O288" t="inlineStr">
        <is>
          <t>eng</t>
        </is>
      </c>
      <c r="P288" t="inlineStr">
        <is>
          <t>nyu</t>
        </is>
      </c>
      <c r="R288" t="inlineStr">
        <is>
          <t xml:space="preserve">NA </t>
        </is>
      </c>
      <c r="S288" t="n">
        <v>9</v>
      </c>
      <c r="T288" t="n">
        <v>9</v>
      </c>
      <c r="U288" t="inlineStr">
        <is>
          <t>1999-02-22</t>
        </is>
      </c>
      <c r="V288" t="inlineStr">
        <is>
          <t>1999-02-22</t>
        </is>
      </c>
      <c r="W288" t="inlineStr">
        <is>
          <t>1992-03-06</t>
        </is>
      </c>
      <c r="X288" t="inlineStr">
        <is>
          <t>1992-03-06</t>
        </is>
      </c>
      <c r="Y288" t="n">
        <v>886</v>
      </c>
      <c r="Z288" t="n">
        <v>817</v>
      </c>
      <c r="AA288" t="n">
        <v>828</v>
      </c>
      <c r="AB288" t="n">
        <v>5</v>
      </c>
      <c r="AC288" t="n">
        <v>5</v>
      </c>
      <c r="AD288" t="n">
        <v>32</v>
      </c>
      <c r="AE288" t="n">
        <v>32</v>
      </c>
      <c r="AF288" t="n">
        <v>12</v>
      </c>
      <c r="AG288" t="n">
        <v>12</v>
      </c>
      <c r="AH288" t="n">
        <v>7</v>
      </c>
      <c r="AI288" t="n">
        <v>7</v>
      </c>
      <c r="AJ288" t="n">
        <v>20</v>
      </c>
      <c r="AK288" t="n">
        <v>20</v>
      </c>
      <c r="AL288" t="n">
        <v>4</v>
      </c>
      <c r="AM288" t="n">
        <v>4</v>
      </c>
      <c r="AN288" t="n">
        <v>0</v>
      </c>
      <c r="AO288" t="n">
        <v>0</v>
      </c>
      <c r="AP288" t="inlineStr">
        <is>
          <t>No</t>
        </is>
      </c>
      <c r="AQ288" t="inlineStr">
        <is>
          <t>Yes</t>
        </is>
      </c>
      <c r="AR288">
        <f>HYPERLINK("http://catalog.hathitrust.org/Record/000451739","HathiTrust Record")</f>
        <v/>
      </c>
      <c r="AS288">
        <f>HYPERLINK("https://creighton-primo.hosted.exlibrisgroup.com/primo-explore/search?tab=default_tab&amp;search_scope=EVERYTHING&amp;vid=01CRU&amp;lang=en_US&amp;offset=0&amp;query=any,contains,991002981119702656","Catalog Record")</f>
        <v/>
      </c>
      <c r="AT288">
        <f>HYPERLINK("http://www.worldcat.org/oclc/554973","WorldCat Record")</f>
        <v/>
      </c>
      <c r="AU288" t="inlineStr">
        <is>
          <t>1613357:eng</t>
        </is>
      </c>
      <c r="AV288" t="inlineStr">
        <is>
          <t>554973</t>
        </is>
      </c>
      <c r="AW288" t="inlineStr">
        <is>
          <t>991002981119702656</t>
        </is>
      </c>
      <c r="AX288" t="inlineStr">
        <is>
          <t>991002981119702656</t>
        </is>
      </c>
      <c r="AY288" t="inlineStr">
        <is>
          <t>2256409100002656</t>
        </is>
      </c>
      <c r="AZ288" t="inlineStr">
        <is>
          <t>BOOK</t>
        </is>
      </c>
      <c r="BC288" t="inlineStr">
        <is>
          <t>32285000992544</t>
        </is>
      </c>
      <c r="BD288" t="inlineStr">
        <is>
          <t>893774254</t>
        </is>
      </c>
    </row>
    <row r="289">
      <c r="A289" t="inlineStr">
        <is>
          <t>No</t>
        </is>
      </c>
      <c r="B289" t="inlineStr">
        <is>
          <t>NA737.M435 C37</t>
        </is>
      </c>
      <c r="C289" t="inlineStr">
        <is>
          <t>0                      NA 0737000M  435                C  37</t>
        </is>
      </c>
      <c r="D289" t="inlineStr">
        <is>
          <t>Bernard Maybeck : artisan, architect, artist / Kenneth H. Cardwell.</t>
        </is>
      </c>
      <c r="F289" t="inlineStr">
        <is>
          <t>No</t>
        </is>
      </c>
      <c r="G289" t="inlineStr">
        <is>
          <t>1</t>
        </is>
      </c>
      <c r="H289" t="inlineStr">
        <is>
          <t>No</t>
        </is>
      </c>
      <c r="I289" t="inlineStr">
        <is>
          <t>No</t>
        </is>
      </c>
      <c r="J289" t="inlineStr">
        <is>
          <t>0</t>
        </is>
      </c>
      <c r="K289" t="inlineStr">
        <is>
          <t>Cardwell, Kenneth H., 1920-</t>
        </is>
      </c>
      <c r="L289" t="inlineStr">
        <is>
          <t>Santa Barbara : Peregrine Smith, 1977.</t>
        </is>
      </c>
      <c r="M289" t="inlineStr">
        <is>
          <t>1977</t>
        </is>
      </c>
      <c r="O289" t="inlineStr">
        <is>
          <t>eng</t>
        </is>
      </c>
      <c r="P289" t="inlineStr">
        <is>
          <t>cau</t>
        </is>
      </c>
      <c r="R289" t="inlineStr">
        <is>
          <t xml:space="preserve">NA </t>
        </is>
      </c>
      <c r="S289" t="n">
        <v>2</v>
      </c>
      <c r="T289" t="n">
        <v>2</v>
      </c>
      <c r="U289" t="inlineStr">
        <is>
          <t>2002-08-06</t>
        </is>
      </c>
      <c r="V289" t="inlineStr">
        <is>
          <t>2002-08-06</t>
        </is>
      </c>
      <c r="W289" t="inlineStr">
        <is>
          <t>1997-07-01</t>
        </is>
      </c>
      <c r="X289" t="inlineStr">
        <is>
          <t>1997-07-01</t>
        </is>
      </c>
      <c r="Y289" t="n">
        <v>501</v>
      </c>
      <c r="Z289" t="n">
        <v>426</v>
      </c>
      <c r="AA289" t="n">
        <v>492</v>
      </c>
      <c r="AB289" t="n">
        <v>3</v>
      </c>
      <c r="AC289" t="n">
        <v>3</v>
      </c>
      <c r="AD289" t="n">
        <v>12</v>
      </c>
      <c r="AE289" t="n">
        <v>14</v>
      </c>
      <c r="AF289" t="n">
        <v>4</v>
      </c>
      <c r="AG289" t="n">
        <v>4</v>
      </c>
      <c r="AH289" t="n">
        <v>2</v>
      </c>
      <c r="AI289" t="n">
        <v>3</v>
      </c>
      <c r="AJ289" t="n">
        <v>7</v>
      </c>
      <c r="AK289" t="n">
        <v>8</v>
      </c>
      <c r="AL289" t="n">
        <v>2</v>
      </c>
      <c r="AM289" t="n">
        <v>2</v>
      </c>
      <c r="AN289" t="n">
        <v>0</v>
      </c>
      <c r="AO289" t="n">
        <v>0</v>
      </c>
      <c r="AP289" t="inlineStr">
        <is>
          <t>No</t>
        </is>
      </c>
      <c r="AQ289" t="inlineStr">
        <is>
          <t>Yes</t>
        </is>
      </c>
      <c r="AR289">
        <f>HYPERLINK("http://catalog.hathitrust.org/Record/000748322","HathiTrust Record")</f>
        <v/>
      </c>
      <c r="AS289">
        <f>HYPERLINK("https://creighton-primo.hosted.exlibrisgroup.com/primo-explore/search?tab=default_tab&amp;search_scope=EVERYTHING&amp;vid=01CRU&amp;lang=en_US&amp;offset=0&amp;query=any,contains,991004402579702656","Catalog Record")</f>
        <v/>
      </c>
      <c r="AT289">
        <f>HYPERLINK("http://www.worldcat.org/oclc/3310404","WorldCat Record")</f>
        <v/>
      </c>
      <c r="AU289" t="inlineStr">
        <is>
          <t>9421777:eng</t>
        </is>
      </c>
      <c r="AV289" t="inlineStr">
        <is>
          <t>3310404</t>
        </is>
      </c>
      <c r="AW289" t="inlineStr">
        <is>
          <t>991004402579702656</t>
        </is>
      </c>
      <c r="AX289" t="inlineStr">
        <is>
          <t>991004402579702656</t>
        </is>
      </c>
      <c r="AY289" t="inlineStr">
        <is>
          <t>2271687210002656</t>
        </is>
      </c>
      <c r="AZ289" t="inlineStr">
        <is>
          <t>BOOK</t>
        </is>
      </c>
      <c r="BB289" t="inlineStr">
        <is>
          <t>9780879050221</t>
        </is>
      </c>
      <c r="BC289" t="inlineStr">
        <is>
          <t>32285002861465</t>
        </is>
      </c>
      <c r="BD289" t="inlineStr">
        <is>
          <t>893331548</t>
        </is>
      </c>
    </row>
    <row r="290">
      <c r="A290" t="inlineStr">
        <is>
          <t>No</t>
        </is>
      </c>
      <c r="B290" t="inlineStr">
        <is>
          <t>NA737.M5 G3 1966</t>
        </is>
      </c>
      <c r="C290" t="inlineStr">
        <is>
          <t>0                      NA 0737000M  5                  G  3           1966</t>
        </is>
      </c>
      <c r="D290" t="inlineStr">
        <is>
          <t>Robert Mills, architect of the Washington Monument, 1781-1855.</t>
        </is>
      </c>
      <c r="F290" t="inlineStr">
        <is>
          <t>No</t>
        </is>
      </c>
      <c r="G290" t="inlineStr">
        <is>
          <t>1</t>
        </is>
      </c>
      <c r="H290" t="inlineStr">
        <is>
          <t>No</t>
        </is>
      </c>
      <c r="I290" t="inlineStr">
        <is>
          <t>No</t>
        </is>
      </c>
      <c r="J290" t="inlineStr">
        <is>
          <t>0</t>
        </is>
      </c>
      <c r="K290" t="inlineStr">
        <is>
          <t>Gallagher, H. M. Pierce (Helen Mar Pierce), -1942.</t>
        </is>
      </c>
      <c r="L290" t="inlineStr">
        <is>
          <t>New York : AMS Press, 1966 [c1935]</t>
        </is>
      </c>
      <c r="M290" t="inlineStr">
        <is>
          <t>1966</t>
        </is>
      </c>
      <c r="O290" t="inlineStr">
        <is>
          <t>eng</t>
        </is>
      </c>
      <c r="P290" t="inlineStr">
        <is>
          <t>nyu</t>
        </is>
      </c>
      <c r="R290" t="inlineStr">
        <is>
          <t xml:space="preserve">NA </t>
        </is>
      </c>
      <c r="S290" t="n">
        <v>5</v>
      </c>
      <c r="T290" t="n">
        <v>5</v>
      </c>
      <c r="U290" t="inlineStr">
        <is>
          <t>1999-02-19</t>
        </is>
      </c>
      <c r="V290" t="inlineStr">
        <is>
          <t>1999-02-19</t>
        </is>
      </c>
      <c r="W290" t="inlineStr">
        <is>
          <t>1993-04-15</t>
        </is>
      </c>
      <c r="X290" t="inlineStr">
        <is>
          <t>1993-04-15</t>
        </is>
      </c>
      <c r="Y290" t="n">
        <v>164</v>
      </c>
      <c r="Z290" t="n">
        <v>157</v>
      </c>
      <c r="AA290" t="n">
        <v>456</v>
      </c>
      <c r="AB290" t="n">
        <v>2</v>
      </c>
      <c r="AC290" t="n">
        <v>3</v>
      </c>
      <c r="AD290" t="n">
        <v>8</v>
      </c>
      <c r="AE290" t="n">
        <v>17</v>
      </c>
      <c r="AF290" t="n">
        <v>3</v>
      </c>
      <c r="AG290" t="n">
        <v>6</v>
      </c>
      <c r="AH290" t="n">
        <v>3</v>
      </c>
      <c r="AI290" t="n">
        <v>5</v>
      </c>
      <c r="AJ290" t="n">
        <v>3</v>
      </c>
      <c r="AK290" t="n">
        <v>8</v>
      </c>
      <c r="AL290" t="n">
        <v>1</v>
      </c>
      <c r="AM290" t="n">
        <v>2</v>
      </c>
      <c r="AN290" t="n">
        <v>0</v>
      </c>
      <c r="AO290" t="n">
        <v>0</v>
      </c>
      <c r="AP290" t="inlineStr">
        <is>
          <t>No</t>
        </is>
      </c>
      <c r="AQ290" t="inlineStr">
        <is>
          <t>Yes</t>
        </is>
      </c>
      <c r="AR290">
        <f>HYPERLINK("http://catalog.hathitrust.org/Record/004502002","HathiTrust Record")</f>
        <v/>
      </c>
      <c r="AS290">
        <f>HYPERLINK("https://creighton-primo.hosted.exlibrisgroup.com/primo-explore/search?tab=default_tab&amp;search_scope=EVERYTHING&amp;vid=01CRU&amp;lang=en_US&amp;offset=0&amp;query=any,contains,991002394689702656","Catalog Record")</f>
        <v/>
      </c>
      <c r="AT290">
        <f>HYPERLINK("http://www.worldcat.org/oclc/334046","WorldCat Record")</f>
        <v/>
      </c>
      <c r="AU290" t="inlineStr">
        <is>
          <t>1446115:eng</t>
        </is>
      </c>
      <c r="AV290" t="inlineStr">
        <is>
          <t>334046</t>
        </is>
      </c>
      <c r="AW290" t="inlineStr">
        <is>
          <t>991002394689702656</t>
        </is>
      </c>
      <c r="AX290" t="inlineStr">
        <is>
          <t>991002394689702656</t>
        </is>
      </c>
      <c r="AY290" t="inlineStr">
        <is>
          <t>2257591730002656</t>
        </is>
      </c>
      <c r="AZ290" t="inlineStr">
        <is>
          <t>BOOK</t>
        </is>
      </c>
      <c r="BC290" t="inlineStr">
        <is>
          <t>32285001620235</t>
        </is>
      </c>
      <c r="BD290" t="inlineStr">
        <is>
          <t>893415147</t>
        </is>
      </c>
    </row>
    <row r="291">
      <c r="A291" t="inlineStr">
        <is>
          <t>No</t>
        </is>
      </c>
      <c r="B291" t="inlineStr">
        <is>
          <t>NA737.M68 B68 1988</t>
        </is>
      </c>
      <c r="C291" t="inlineStr">
        <is>
          <t>0                      NA 0737000M  68                 B  68          1988</t>
        </is>
      </c>
      <c r="D291" t="inlineStr">
        <is>
          <t>Julia Morgan, architect / Sara Holmes Boutelle ; color photography by Richard Barnes.</t>
        </is>
      </c>
      <c r="F291" t="inlineStr">
        <is>
          <t>No</t>
        </is>
      </c>
      <c r="G291" t="inlineStr">
        <is>
          <t>1</t>
        </is>
      </c>
      <c r="H291" t="inlineStr">
        <is>
          <t>No</t>
        </is>
      </c>
      <c r="I291" t="inlineStr">
        <is>
          <t>No</t>
        </is>
      </c>
      <c r="J291" t="inlineStr">
        <is>
          <t>0</t>
        </is>
      </c>
      <c r="K291" t="inlineStr">
        <is>
          <t>Boutelle, Sara Holmes.</t>
        </is>
      </c>
      <c r="L291" t="inlineStr">
        <is>
          <t>New York : Abbeville Press, c1988.</t>
        </is>
      </c>
      <c r="M291" t="inlineStr">
        <is>
          <t>1988</t>
        </is>
      </c>
      <c r="N291" t="inlineStr">
        <is>
          <t>1st ed.</t>
        </is>
      </c>
      <c r="O291" t="inlineStr">
        <is>
          <t>eng</t>
        </is>
      </c>
      <c r="P291" t="inlineStr">
        <is>
          <t>nyu</t>
        </is>
      </c>
      <c r="R291" t="inlineStr">
        <is>
          <t xml:space="preserve">NA </t>
        </is>
      </c>
      <c r="S291" t="n">
        <v>4</v>
      </c>
      <c r="T291" t="n">
        <v>4</v>
      </c>
      <c r="U291" t="inlineStr">
        <is>
          <t>1998-04-16</t>
        </is>
      </c>
      <c r="V291" t="inlineStr">
        <is>
          <t>1998-04-16</t>
        </is>
      </c>
      <c r="W291" t="inlineStr">
        <is>
          <t>1991-01-25</t>
        </is>
      </c>
      <c r="X291" t="inlineStr">
        <is>
          <t>1991-01-25</t>
        </is>
      </c>
      <c r="Y291" t="n">
        <v>838</v>
      </c>
      <c r="Z291" t="n">
        <v>752</v>
      </c>
      <c r="AA291" t="n">
        <v>890</v>
      </c>
      <c r="AB291" t="n">
        <v>2</v>
      </c>
      <c r="AC291" t="n">
        <v>3</v>
      </c>
      <c r="AD291" t="n">
        <v>16</v>
      </c>
      <c r="AE291" t="n">
        <v>21</v>
      </c>
      <c r="AF291" t="n">
        <v>5</v>
      </c>
      <c r="AG291" t="n">
        <v>7</v>
      </c>
      <c r="AH291" t="n">
        <v>5</v>
      </c>
      <c r="AI291" t="n">
        <v>6</v>
      </c>
      <c r="AJ291" t="n">
        <v>7</v>
      </c>
      <c r="AK291" t="n">
        <v>9</v>
      </c>
      <c r="AL291" t="n">
        <v>1</v>
      </c>
      <c r="AM291" t="n">
        <v>2</v>
      </c>
      <c r="AN291" t="n">
        <v>0</v>
      </c>
      <c r="AO291" t="n">
        <v>0</v>
      </c>
      <c r="AP291" t="inlineStr">
        <is>
          <t>No</t>
        </is>
      </c>
      <c r="AQ291" t="inlineStr">
        <is>
          <t>Yes</t>
        </is>
      </c>
      <c r="AR291">
        <f>HYPERLINK("http://catalog.hathitrust.org/Record/000923330","HathiTrust Record")</f>
        <v/>
      </c>
      <c r="AS291">
        <f>HYPERLINK("https://creighton-primo.hosted.exlibrisgroup.com/primo-explore/search?tab=default_tab&amp;search_scope=EVERYTHING&amp;vid=01CRU&amp;lang=en_US&amp;offset=0&amp;query=any,contains,991001158329702656","Catalog Record")</f>
        <v/>
      </c>
      <c r="AT291">
        <f>HYPERLINK("http://www.worldcat.org/oclc/16871079","WorldCat Record")</f>
        <v/>
      </c>
      <c r="AU291" t="inlineStr">
        <is>
          <t>13561248:eng</t>
        </is>
      </c>
      <c r="AV291" t="inlineStr">
        <is>
          <t>16871079</t>
        </is>
      </c>
      <c r="AW291" t="inlineStr">
        <is>
          <t>991001158329702656</t>
        </is>
      </c>
      <c r="AX291" t="inlineStr">
        <is>
          <t>991001158329702656</t>
        </is>
      </c>
      <c r="AY291" t="inlineStr">
        <is>
          <t>2263135670002656</t>
        </is>
      </c>
      <c r="AZ291" t="inlineStr">
        <is>
          <t>BOOK</t>
        </is>
      </c>
      <c r="BB291" t="inlineStr">
        <is>
          <t>9780896597921</t>
        </is>
      </c>
      <c r="BC291" t="inlineStr">
        <is>
          <t>32285000298918</t>
        </is>
      </c>
      <c r="BD291" t="inlineStr">
        <is>
          <t>893808965</t>
        </is>
      </c>
    </row>
    <row r="292">
      <c r="A292" t="inlineStr">
        <is>
          <t>No</t>
        </is>
      </c>
      <c r="B292" t="inlineStr">
        <is>
          <t>NA737.O4 F4 1972</t>
        </is>
      </c>
      <c r="C292" t="inlineStr">
        <is>
          <t>0                      NA 0737000O  4                  F  4           1972</t>
        </is>
      </c>
      <c r="D292" t="inlineStr">
        <is>
          <t>Frederick Law Olmsted and the American environmental tradition.</t>
        </is>
      </c>
      <c r="F292" t="inlineStr">
        <is>
          <t>No</t>
        </is>
      </c>
      <c r="G292" t="inlineStr">
        <is>
          <t>1</t>
        </is>
      </c>
      <c r="H292" t="inlineStr">
        <is>
          <t>No</t>
        </is>
      </c>
      <c r="I292" t="inlineStr">
        <is>
          <t>No</t>
        </is>
      </c>
      <c r="J292" t="inlineStr">
        <is>
          <t>0</t>
        </is>
      </c>
      <c r="K292" t="inlineStr">
        <is>
          <t>Fein, Albert.</t>
        </is>
      </c>
      <c r="L292" t="inlineStr">
        <is>
          <t>New York : G. Braziller, [1972]</t>
        </is>
      </c>
      <c r="M292" t="inlineStr">
        <is>
          <t>1972</t>
        </is>
      </c>
      <c r="O292" t="inlineStr">
        <is>
          <t>eng</t>
        </is>
      </c>
      <c r="P292" t="inlineStr">
        <is>
          <t>nyu</t>
        </is>
      </c>
      <c r="Q292" t="inlineStr">
        <is>
          <t>Planning and cities</t>
        </is>
      </c>
      <c r="R292" t="inlineStr">
        <is>
          <t xml:space="preserve">NA </t>
        </is>
      </c>
      <c r="S292" t="n">
        <v>2</v>
      </c>
      <c r="T292" t="n">
        <v>2</v>
      </c>
      <c r="U292" t="inlineStr">
        <is>
          <t>1992-05-22</t>
        </is>
      </c>
      <c r="V292" t="inlineStr">
        <is>
          <t>1992-05-22</t>
        </is>
      </c>
      <c r="W292" t="inlineStr">
        <is>
          <t>1992-05-19</t>
        </is>
      </c>
      <c r="X292" t="inlineStr">
        <is>
          <t>1992-05-19</t>
        </is>
      </c>
      <c r="Y292" t="n">
        <v>1044</v>
      </c>
      <c r="Z292" t="n">
        <v>933</v>
      </c>
      <c r="AA292" t="n">
        <v>939</v>
      </c>
      <c r="AB292" t="n">
        <v>8</v>
      </c>
      <c r="AC292" t="n">
        <v>8</v>
      </c>
      <c r="AD292" t="n">
        <v>35</v>
      </c>
      <c r="AE292" t="n">
        <v>35</v>
      </c>
      <c r="AF292" t="n">
        <v>15</v>
      </c>
      <c r="AG292" t="n">
        <v>15</v>
      </c>
      <c r="AH292" t="n">
        <v>4</v>
      </c>
      <c r="AI292" t="n">
        <v>4</v>
      </c>
      <c r="AJ292" t="n">
        <v>14</v>
      </c>
      <c r="AK292" t="n">
        <v>14</v>
      </c>
      <c r="AL292" t="n">
        <v>7</v>
      </c>
      <c r="AM292" t="n">
        <v>7</v>
      </c>
      <c r="AN292" t="n">
        <v>0</v>
      </c>
      <c r="AO292" t="n">
        <v>0</v>
      </c>
      <c r="AP292" t="inlineStr">
        <is>
          <t>No</t>
        </is>
      </c>
      <c r="AQ292" t="inlineStr">
        <is>
          <t>Yes</t>
        </is>
      </c>
      <c r="AR292">
        <f>HYPERLINK("http://catalog.hathitrust.org/Record/000451893","HathiTrust Record")</f>
        <v/>
      </c>
      <c r="AS292">
        <f>HYPERLINK("https://creighton-primo.hosted.exlibrisgroup.com/primo-explore/search?tab=default_tab&amp;search_scope=EVERYTHING&amp;vid=01CRU&amp;lang=en_US&amp;offset=0&amp;query=any,contains,991002672579702656","Catalog Record")</f>
        <v/>
      </c>
      <c r="AT292">
        <f>HYPERLINK("http://www.worldcat.org/oclc/395722","WorldCat Record")</f>
        <v/>
      </c>
      <c r="AU292" t="inlineStr">
        <is>
          <t>464514:eng</t>
        </is>
      </c>
      <c r="AV292" t="inlineStr">
        <is>
          <t>395722</t>
        </is>
      </c>
      <c r="AW292" t="inlineStr">
        <is>
          <t>991002672579702656</t>
        </is>
      </c>
      <c r="AX292" t="inlineStr">
        <is>
          <t>991002672579702656</t>
        </is>
      </c>
      <c r="AY292" t="inlineStr">
        <is>
          <t>2260542990002656</t>
        </is>
      </c>
      <c r="AZ292" t="inlineStr">
        <is>
          <t>BOOK</t>
        </is>
      </c>
      <c r="BB292" t="inlineStr">
        <is>
          <t>9780807606506</t>
        </is>
      </c>
      <c r="BC292" t="inlineStr">
        <is>
          <t>32285001111656</t>
        </is>
      </c>
      <c r="BD292" t="inlineStr">
        <is>
          <t>893523907</t>
        </is>
      </c>
    </row>
    <row r="293">
      <c r="A293" t="inlineStr">
        <is>
          <t>No</t>
        </is>
      </c>
      <c r="B293" t="inlineStr">
        <is>
          <t>NA737.S28 S2 1968</t>
        </is>
      </c>
      <c r="C293" t="inlineStr">
        <is>
          <t>0                      NA 0737000S  28                 S  2           1968</t>
        </is>
      </c>
      <c r="D293" t="inlineStr">
        <is>
          <t>Eero Saarinen on his work; a selection of buildings dating from 1947 to 1964 with statements by the architect, edited by Aline B. Saarinen.</t>
        </is>
      </c>
      <c r="F293" t="inlineStr">
        <is>
          <t>No</t>
        </is>
      </c>
      <c r="G293" t="inlineStr">
        <is>
          <t>1</t>
        </is>
      </c>
      <c r="H293" t="inlineStr">
        <is>
          <t>No</t>
        </is>
      </c>
      <c r="I293" t="inlineStr">
        <is>
          <t>No</t>
        </is>
      </c>
      <c r="J293" t="inlineStr">
        <is>
          <t>0</t>
        </is>
      </c>
      <c r="K293" t="inlineStr">
        <is>
          <t>Saarinen, Eero, 1910-1961.</t>
        </is>
      </c>
      <c r="L293" t="inlineStr">
        <is>
          <t>New Haven, Yale University Press, 1968.</t>
        </is>
      </c>
      <c r="M293" t="inlineStr">
        <is>
          <t>1968</t>
        </is>
      </c>
      <c r="N293" t="inlineStr">
        <is>
          <t>Rev. ed.</t>
        </is>
      </c>
      <c r="O293" t="inlineStr">
        <is>
          <t>eng</t>
        </is>
      </c>
      <c r="P293" t="inlineStr">
        <is>
          <t>ctu</t>
        </is>
      </c>
      <c r="R293" t="inlineStr">
        <is>
          <t xml:space="preserve">NA </t>
        </is>
      </c>
      <c r="S293" t="n">
        <v>3</v>
      </c>
      <c r="T293" t="n">
        <v>3</v>
      </c>
      <c r="U293" t="inlineStr">
        <is>
          <t>1998-04-20</t>
        </is>
      </c>
      <c r="V293" t="inlineStr">
        <is>
          <t>1998-04-20</t>
        </is>
      </c>
      <c r="W293" t="inlineStr">
        <is>
          <t>1997-07-28</t>
        </is>
      </c>
      <c r="X293" t="inlineStr">
        <is>
          <t>1997-07-28</t>
        </is>
      </c>
      <c r="Y293" t="n">
        <v>606</v>
      </c>
      <c r="Z293" t="n">
        <v>518</v>
      </c>
      <c r="AA293" t="n">
        <v>1116</v>
      </c>
      <c r="AB293" t="n">
        <v>7</v>
      </c>
      <c r="AC293" t="n">
        <v>11</v>
      </c>
      <c r="AD293" t="n">
        <v>21</v>
      </c>
      <c r="AE293" t="n">
        <v>37</v>
      </c>
      <c r="AF293" t="n">
        <v>8</v>
      </c>
      <c r="AG293" t="n">
        <v>16</v>
      </c>
      <c r="AH293" t="n">
        <v>5</v>
      </c>
      <c r="AI293" t="n">
        <v>8</v>
      </c>
      <c r="AJ293" t="n">
        <v>7</v>
      </c>
      <c r="AK293" t="n">
        <v>14</v>
      </c>
      <c r="AL293" t="n">
        <v>4</v>
      </c>
      <c r="AM293" t="n">
        <v>7</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HYPERLINK("https://creighton-primo.hosted.exlibrisgroup.com/primo-explore/search?tab=default_tab&amp;search_scope=EVERYTHING&amp;vid=01CRU&amp;lang=en_US&amp;offset=0&amp;query=any,contains,991002765599702656","Catalog Record")</f>
        <v/>
      </c>
      <c r="AT293">
        <f>HYPERLINK("http://www.worldcat.org/oclc/433358","WorldCat Record")</f>
        <v/>
      </c>
      <c r="AU293" t="inlineStr">
        <is>
          <t>1430760:eng</t>
        </is>
      </c>
      <c r="AV293" t="inlineStr">
        <is>
          <t>433358</t>
        </is>
      </c>
      <c r="AW293" t="inlineStr">
        <is>
          <t>991002765599702656</t>
        </is>
      </c>
      <c r="AX293" t="inlineStr">
        <is>
          <t>991002765599702656</t>
        </is>
      </c>
      <c r="AY293" t="inlineStr">
        <is>
          <t>2270082580002656</t>
        </is>
      </c>
      <c r="AZ293" t="inlineStr">
        <is>
          <t>BOOK</t>
        </is>
      </c>
      <c r="BC293" t="inlineStr">
        <is>
          <t>32285002967429</t>
        </is>
      </c>
      <c r="BD293" t="inlineStr">
        <is>
          <t>893535183</t>
        </is>
      </c>
    </row>
    <row r="294">
      <c r="A294" t="inlineStr">
        <is>
          <t>No</t>
        </is>
      </c>
      <c r="B294" t="inlineStr">
        <is>
          <t>NA737.S28 T4</t>
        </is>
      </c>
      <c r="C294" t="inlineStr">
        <is>
          <t>0                      NA 0737000S  28                 T  4</t>
        </is>
      </c>
      <c r="D294" t="inlineStr">
        <is>
          <t>Eero Saarinen.</t>
        </is>
      </c>
      <c r="F294" t="inlineStr">
        <is>
          <t>No</t>
        </is>
      </c>
      <c r="G294" t="inlineStr">
        <is>
          <t>1</t>
        </is>
      </c>
      <c r="H294" t="inlineStr">
        <is>
          <t>No</t>
        </is>
      </c>
      <c r="I294" t="inlineStr">
        <is>
          <t>No</t>
        </is>
      </c>
      <c r="J294" t="inlineStr">
        <is>
          <t>0</t>
        </is>
      </c>
      <c r="K294" t="inlineStr">
        <is>
          <t>Temko, Allan.</t>
        </is>
      </c>
      <c r="L294" t="inlineStr">
        <is>
          <t>New York, G. Braziller, 1962.</t>
        </is>
      </c>
      <c r="M294" t="inlineStr">
        <is>
          <t>1962</t>
        </is>
      </c>
      <c r="O294" t="inlineStr">
        <is>
          <t>eng</t>
        </is>
      </c>
      <c r="P294" t="inlineStr">
        <is>
          <t>nyu</t>
        </is>
      </c>
      <c r="Q294" t="inlineStr">
        <is>
          <t>Makers of contemporary architecture</t>
        </is>
      </c>
      <c r="R294" t="inlineStr">
        <is>
          <t xml:space="preserve">NA </t>
        </is>
      </c>
      <c r="S294" t="n">
        <v>3</v>
      </c>
      <c r="T294" t="n">
        <v>3</v>
      </c>
      <c r="U294" t="inlineStr">
        <is>
          <t>1998-04-20</t>
        </is>
      </c>
      <c r="V294" t="inlineStr">
        <is>
          <t>1998-04-20</t>
        </is>
      </c>
      <c r="W294" t="inlineStr">
        <is>
          <t>1997-07-01</t>
        </is>
      </c>
      <c r="X294" t="inlineStr">
        <is>
          <t>1997-07-01</t>
        </is>
      </c>
      <c r="Y294" t="n">
        <v>925</v>
      </c>
      <c r="Z294" t="n">
        <v>829</v>
      </c>
      <c r="AA294" t="n">
        <v>839</v>
      </c>
      <c r="AB294" t="n">
        <v>7</v>
      </c>
      <c r="AC294" t="n">
        <v>7</v>
      </c>
      <c r="AD294" t="n">
        <v>25</v>
      </c>
      <c r="AE294" t="n">
        <v>25</v>
      </c>
      <c r="AF294" t="n">
        <v>10</v>
      </c>
      <c r="AG294" t="n">
        <v>10</v>
      </c>
      <c r="AH294" t="n">
        <v>3</v>
      </c>
      <c r="AI294" t="n">
        <v>3</v>
      </c>
      <c r="AJ294" t="n">
        <v>10</v>
      </c>
      <c r="AK294" t="n">
        <v>10</v>
      </c>
      <c r="AL294" t="n">
        <v>5</v>
      </c>
      <c r="AM294" t="n">
        <v>5</v>
      </c>
      <c r="AN294" t="n">
        <v>0</v>
      </c>
      <c r="AO294" t="n">
        <v>0</v>
      </c>
      <c r="AP294" t="inlineStr">
        <is>
          <t>Yes</t>
        </is>
      </c>
      <c r="AQ294" t="inlineStr">
        <is>
          <t>No</t>
        </is>
      </c>
      <c r="AR294">
        <f>HYPERLINK("http://catalog.hathitrust.org/Record/000603774","HathiTrust Record")</f>
        <v/>
      </c>
      <c r="AS294">
        <f>HYPERLINK("https://creighton-primo.hosted.exlibrisgroup.com/primo-explore/search?tab=default_tab&amp;search_scope=EVERYTHING&amp;vid=01CRU&amp;lang=en_US&amp;offset=0&amp;query=any,contains,991003300409702656","Catalog Record")</f>
        <v/>
      </c>
      <c r="AT294">
        <f>HYPERLINK("http://www.worldcat.org/oclc/823440","WorldCat Record")</f>
        <v/>
      </c>
      <c r="AU294" t="inlineStr">
        <is>
          <t>2453120896:eng</t>
        </is>
      </c>
      <c r="AV294" t="inlineStr">
        <is>
          <t>823440</t>
        </is>
      </c>
      <c r="AW294" t="inlineStr">
        <is>
          <t>991003300409702656</t>
        </is>
      </c>
      <c r="AX294" t="inlineStr">
        <is>
          <t>991003300409702656</t>
        </is>
      </c>
      <c r="AY294" t="inlineStr">
        <is>
          <t>2259473480002656</t>
        </is>
      </c>
      <c r="AZ294" t="inlineStr">
        <is>
          <t>BOOK</t>
        </is>
      </c>
      <c r="BC294" t="inlineStr">
        <is>
          <t>32285002861499</t>
        </is>
      </c>
      <c r="BD294" t="inlineStr">
        <is>
          <t>893805643</t>
        </is>
      </c>
    </row>
    <row r="295">
      <c r="A295" t="inlineStr">
        <is>
          <t>No</t>
        </is>
      </c>
      <c r="B295" t="inlineStr">
        <is>
          <t>NA737.S4 B3</t>
        </is>
      </c>
      <c r="C295" t="inlineStr">
        <is>
          <t>0                      NA 0737000S  4                  B  3</t>
        </is>
      </c>
      <c r="D295" t="inlineStr">
        <is>
          <t>José Luis Sert; architecture, city planning, urban design. Introd., S. Giedon.</t>
        </is>
      </c>
      <c r="F295" t="inlineStr">
        <is>
          <t>No</t>
        </is>
      </c>
      <c r="G295" t="inlineStr">
        <is>
          <t>1</t>
        </is>
      </c>
      <c r="H295" t="inlineStr">
        <is>
          <t>No</t>
        </is>
      </c>
      <c r="I295" t="inlineStr">
        <is>
          <t>No</t>
        </is>
      </c>
      <c r="J295" t="inlineStr">
        <is>
          <t>0</t>
        </is>
      </c>
      <c r="K295" t="inlineStr">
        <is>
          <t>Bastlund, Knud.</t>
        </is>
      </c>
      <c r="L295" t="inlineStr">
        <is>
          <t>New York, Praeger [1967]</t>
        </is>
      </c>
      <c r="M295" t="inlineStr">
        <is>
          <t>1967</t>
        </is>
      </c>
      <c r="O295" t="inlineStr">
        <is>
          <t>eng</t>
        </is>
      </c>
      <c r="P295" t="inlineStr">
        <is>
          <t>nyu</t>
        </is>
      </c>
      <c r="R295" t="inlineStr">
        <is>
          <t xml:space="preserve">NA </t>
        </is>
      </c>
      <c r="S295" t="n">
        <v>5</v>
      </c>
      <c r="T295" t="n">
        <v>5</v>
      </c>
      <c r="U295" t="inlineStr">
        <is>
          <t>2006-02-20</t>
        </is>
      </c>
      <c r="V295" t="inlineStr">
        <is>
          <t>2006-02-20</t>
        </is>
      </c>
      <c r="W295" t="inlineStr">
        <is>
          <t>1997-07-01</t>
        </is>
      </c>
      <c r="X295" t="inlineStr">
        <is>
          <t>1997-07-01</t>
        </is>
      </c>
      <c r="Y295" t="n">
        <v>512</v>
      </c>
      <c r="Z295" t="n">
        <v>464</v>
      </c>
      <c r="AA295" t="n">
        <v>477</v>
      </c>
      <c r="AB295" t="n">
        <v>4</v>
      </c>
      <c r="AC295" t="n">
        <v>4</v>
      </c>
      <c r="AD295" t="n">
        <v>17</v>
      </c>
      <c r="AE295" t="n">
        <v>18</v>
      </c>
      <c r="AF295" t="n">
        <v>3</v>
      </c>
      <c r="AG295" t="n">
        <v>3</v>
      </c>
      <c r="AH295" t="n">
        <v>5</v>
      </c>
      <c r="AI295" t="n">
        <v>5</v>
      </c>
      <c r="AJ295" t="n">
        <v>8</v>
      </c>
      <c r="AK295" t="n">
        <v>9</v>
      </c>
      <c r="AL295" t="n">
        <v>3</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HYPERLINK("https://creighton-primo.hosted.exlibrisgroup.com/primo-explore/search?tab=default_tab&amp;search_scope=EVERYTHING&amp;vid=01CRU&amp;lang=en_US&amp;offset=0&amp;query=any,contains,991002594649702656","Catalog Record")</f>
        <v/>
      </c>
      <c r="AT295">
        <f>HYPERLINK("http://www.worldcat.org/oclc/376598","WorldCat Record")</f>
        <v/>
      </c>
      <c r="AU295" t="inlineStr">
        <is>
          <t>1470071:eng</t>
        </is>
      </c>
      <c r="AV295" t="inlineStr">
        <is>
          <t>376598</t>
        </is>
      </c>
      <c r="AW295" t="inlineStr">
        <is>
          <t>991002594649702656</t>
        </is>
      </c>
      <c r="AX295" t="inlineStr">
        <is>
          <t>991002594649702656</t>
        </is>
      </c>
      <c r="AY295" t="inlineStr">
        <is>
          <t>2263616490002656</t>
        </is>
      </c>
      <c r="AZ295" t="inlineStr">
        <is>
          <t>BOOK</t>
        </is>
      </c>
      <c r="BC295" t="inlineStr">
        <is>
          <t>32285002861507</t>
        </is>
      </c>
      <c r="BD295" t="inlineStr">
        <is>
          <t>893245361</t>
        </is>
      </c>
    </row>
    <row r="296">
      <c r="A296" t="inlineStr">
        <is>
          <t>No</t>
        </is>
      </c>
      <c r="B296" t="inlineStr">
        <is>
          <t>NA737.S525 D68 1989</t>
        </is>
      </c>
      <c r="C296" t="inlineStr">
        <is>
          <t>0                      NA 0737000S  525                D  68          1989</t>
        </is>
      </c>
      <c r="D296" t="inlineStr">
        <is>
          <t>American classicist : the architecture of Philip Trammell Shutze / Elizabeth Meredith Dowling ; preface by Henry Hope Reed ; introduction by Vincent Scully ; photography by Timothy Hursley.</t>
        </is>
      </c>
      <c r="F296" t="inlineStr">
        <is>
          <t>No</t>
        </is>
      </c>
      <c r="G296" t="inlineStr">
        <is>
          <t>1</t>
        </is>
      </c>
      <c r="H296" t="inlineStr">
        <is>
          <t>No</t>
        </is>
      </c>
      <c r="I296" t="inlineStr">
        <is>
          <t>No</t>
        </is>
      </c>
      <c r="J296" t="inlineStr">
        <is>
          <t>0</t>
        </is>
      </c>
      <c r="K296" t="inlineStr">
        <is>
          <t>Dowling, Elizabeth Meredith.</t>
        </is>
      </c>
      <c r="L296" t="inlineStr">
        <is>
          <t>New York, NY : Rizzoli, 1989.</t>
        </is>
      </c>
      <c r="M296" t="inlineStr">
        <is>
          <t>1989</t>
        </is>
      </c>
      <c r="O296" t="inlineStr">
        <is>
          <t>eng</t>
        </is>
      </c>
      <c r="P296" t="inlineStr">
        <is>
          <t>nyu</t>
        </is>
      </c>
      <c r="R296" t="inlineStr">
        <is>
          <t xml:space="preserve">NA </t>
        </is>
      </c>
      <c r="S296" t="n">
        <v>6</v>
      </c>
      <c r="T296" t="n">
        <v>6</v>
      </c>
      <c r="U296" t="inlineStr">
        <is>
          <t>1996-03-19</t>
        </is>
      </c>
      <c r="V296" t="inlineStr">
        <is>
          <t>1996-03-19</t>
        </is>
      </c>
      <c r="W296" t="inlineStr">
        <is>
          <t>1991-01-30</t>
        </is>
      </c>
      <c r="X296" t="inlineStr">
        <is>
          <t>1991-01-30</t>
        </is>
      </c>
      <c r="Y296" t="n">
        <v>324</v>
      </c>
      <c r="Z296" t="n">
        <v>281</v>
      </c>
      <c r="AA296" t="n">
        <v>283</v>
      </c>
      <c r="AB296" t="n">
        <v>2</v>
      </c>
      <c r="AC296" t="n">
        <v>2</v>
      </c>
      <c r="AD296" t="n">
        <v>8</v>
      </c>
      <c r="AE296" t="n">
        <v>8</v>
      </c>
      <c r="AF296" t="n">
        <v>2</v>
      </c>
      <c r="AG296" t="n">
        <v>2</v>
      </c>
      <c r="AH296" t="n">
        <v>3</v>
      </c>
      <c r="AI296" t="n">
        <v>3</v>
      </c>
      <c r="AJ296" t="n">
        <v>3</v>
      </c>
      <c r="AK296" t="n">
        <v>3</v>
      </c>
      <c r="AL296" t="n">
        <v>1</v>
      </c>
      <c r="AM296" t="n">
        <v>1</v>
      </c>
      <c r="AN296" t="n">
        <v>0</v>
      </c>
      <c r="AO296" t="n">
        <v>0</v>
      </c>
      <c r="AP296" t="inlineStr">
        <is>
          <t>No</t>
        </is>
      </c>
      <c r="AQ296" t="inlineStr">
        <is>
          <t>Yes</t>
        </is>
      </c>
      <c r="AR296">
        <f>HYPERLINK("http://catalog.hathitrust.org/Record/001829893","HathiTrust Record")</f>
        <v/>
      </c>
      <c r="AS296">
        <f>HYPERLINK("https://creighton-primo.hosted.exlibrisgroup.com/primo-explore/search?tab=default_tab&amp;search_scope=EVERYTHING&amp;vid=01CRU&amp;lang=en_US&amp;offset=0&amp;query=any,contains,991001440129702656","Catalog Record")</f>
        <v/>
      </c>
      <c r="AT296">
        <f>HYPERLINK("http://www.worldcat.org/oclc/19223276","WorldCat Record")</f>
        <v/>
      </c>
      <c r="AU296" t="inlineStr">
        <is>
          <t>890265984:eng</t>
        </is>
      </c>
      <c r="AV296" t="inlineStr">
        <is>
          <t>19223276</t>
        </is>
      </c>
      <c r="AW296" t="inlineStr">
        <is>
          <t>991001440129702656</t>
        </is>
      </c>
      <c r="AX296" t="inlineStr">
        <is>
          <t>991001440129702656</t>
        </is>
      </c>
      <c r="AY296" t="inlineStr">
        <is>
          <t>2258792940002656</t>
        </is>
      </c>
      <c r="AZ296" t="inlineStr">
        <is>
          <t>BOOK</t>
        </is>
      </c>
      <c r="BB296" t="inlineStr">
        <is>
          <t>9780847810369</t>
        </is>
      </c>
      <c r="BC296" t="inlineStr">
        <is>
          <t>32285000299007</t>
        </is>
      </c>
      <c r="BD296" t="inlineStr">
        <is>
          <t>893231999</t>
        </is>
      </c>
    </row>
    <row r="297">
      <c r="A297" t="inlineStr">
        <is>
          <t>No</t>
        </is>
      </c>
      <c r="B297" t="inlineStr">
        <is>
          <t>NA737.W5 B27 1989</t>
        </is>
      </c>
      <c r="C297" t="inlineStr">
        <is>
          <t>0                      NA 0737000W  5                  B  27          1989</t>
        </is>
      </c>
      <c r="D297" t="inlineStr">
        <is>
          <t>Stanny : the gilded life of Stanford White / Paul R. Baker.</t>
        </is>
      </c>
      <c r="F297" t="inlineStr">
        <is>
          <t>No</t>
        </is>
      </c>
      <c r="G297" t="inlineStr">
        <is>
          <t>1</t>
        </is>
      </c>
      <c r="H297" t="inlineStr">
        <is>
          <t>No</t>
        </is>
      </c>
      <c r="I297" t="inlineStr">
        <is>
          <t>No</t>
        </is>
      </c>
      <c r="J297" t="inlineStr">
        <is>
          <t>0</t>
        </is>
      </c>
      <c r="K297" t="inlineStr">
        <is>
          <t>Baker, Paul R.</t>
        </is>
      </c>
      <c r="L297" t="inlineStr">
        <is>
          <t>New York : Free Press ; London : Collier Macmillan, c1989.</t>
        </is>
      </c>
      <c r="M297" t="inlineStr">
        <is>
          <t>1989</t>
        </is>
      </c>
      <c r="O297" t="inlineStr">
        <is>
          <t>eng</t>
        </is>
      </c>
      <c r="P297" t="inlineStr">
        <is>
          <t>nyu</t>
        </is>
      </c>
      <c r="R297" t="inlineStr">
        <is>
          <t xml:space="preserve">NA </t>
        </is>
      </c>
      <c r="S297" t="n">
        <v>6</v>
      </c>
      <c r="T297" t="n">
        <v>6</v>
      </c>
      <c r="U297" t="inlineStr">
        <is>
          <t>2001-07-31</t>
        </is>
      </c>
      <c r="V297" t="inlineStr">
        <is>
          <t>2001-07-31</t>
        </is>
      </c>
      <c r="W297" t="inlineStr">
        <is>
          <t>1990-01-09</t>
        </is>
      </c>
      <c r="X297" t="inlineStr">
        <is>
          <t>1990-01-09</t>
        </is>
      </c>
      <c r="Y297" t="n">
        <v>776</v>
      </c>
      <c r="Z297" t="n">
        <v>738</v>
      </c>
      <c r="AA297" t="n">
        <v>746</v>
      </c>
      <c r="AB297" t="n">
        <v>2</v>
      </c>
      <c r="AC297" t="n">
        <v>2</v>
      </c>
      <c r="AD297" t="n">
        <v>19</v>
      </c>
      <c r="AE297" t="n">
        <v>19</v>
      </c>
      <c r="AF297" t="n">
        <v>9</v>
      </c>
      <c r="AG297" t="n">
        <v>9</v>
      </c>
      <c r="AH297" t="n">
        <v>3</v>
      </c>
      <c r="AI297" t="n">
        <v>3</v>
      </c>
      <c r="AJ297" t="n">
        <v>9</v>
      </c>
      <c r="AK297" t="n">
        <v>9</v>
      </c>
      <c r="AL297" t="n">
        <v>1</v>
      </c>
      <c r="AM297" t="n">
        <v>1</v>
      </c>
      <c r="AN297" t="n">
        <v>0</v>
      </c>
      <c r="AO297" t="n">
        <v>0</v>
      </c>
      <c r="AP297" t="inlineStr">
        <is>
          <t>No</t>
        </is>
      </c>
      <c r="AQ297" t="inlineStr">
        <is>
          <t>Yes</t>
        </is>
      </c>
      <c r="AR297">
        <f>HYPERLINK("http://catalog.hathitrust.org/Record/001823421","HathiTrust Record")</f>
        <v/>
      </c>
      <c r="AS297">
        <f>HYPERLINK("https://creighton-primo.hosted.exlibrisgroup.com/primo-explore/search?tab=default_tab&amp;search_scope=EVERYTHING&amp;vid=01CRU&amp;lang=en_US&amp;offset=0&amp;query=any,contains,991001506769702656","Catalog Record")</f>
        <v/>
      </c>
      <c r="AT297">
        <f>HYPERLINK("http://www.worldcat.org/oclc/19846586","WorldCat Record")</f>
        <v/>
      </c>
      <c r="AU297" t="inlineStr">
        <is>
          <t>291582736:eng</t>
        </is>
      </c>
      <c r="AV297" t="inlineStr">
        <is>
          <t>19846586</t>
        </is>
      </c>
      <c r="AW297" t="inlineStr">
        <is>
          <t>991001506769702656</t>
        </is>
      </c>
      <c r="AX297" t="inlineStr">
        <is>
          <t>991001506769702656</t>
        </is>
      </c>
      <c r="AY297" t="inlineStr">
        <is>
          <t>2265598600002656</t>
        </is>
      </c>
      <c r="AZ297" t="inlineStr">
        <is>
          <t>BOOK</t>
        </is>
      </c>
      <c r="BB297" t="inlineStr">
        <is>
          <t>9780029017814</t>
        </is>
      </c>
      <c r="BC297" t="inlineStr">
        <is>
          <t>32285000025766</t>
        </is>
      </c>
      <c r="BD297" t="inlineStr">
        <is>
          <t>893803651</t>
        </is>
      </c>
    </row>
    <row r="298">
      <c r="A298" t="inlineStr">
        <is>
          <t>No</t>
        </is>
      </c>
      <c r="B298" t="inlineStr">
        <is>
          <t>NA7451 .E5 1964</t>
        </is>
      </c>
      <c r="C298" t="inlineStr">
        <is>
          <t>0                      NA 7451000E  5           1964</t>
        </is>
      </c>
      <c r="D298" t="inlineStr">
        <is>
          <t>The Japanese house : a tradition for contemporary architecture / by Heinrich Engel.</t>
        </is>
      </c>
      <c r="F298" t="inlineStr">
        <is>
          <t>No</t>
        </is>
      </c>
      <c r="G298" t="inlineStr">
        <is>
          <t>1</t>
        </is>
      </c>
      <c r="H298" t="inlineStr">
        <is>
          <t>No</t>
        </is>
      </c>
      <c r="I298" t="inlineStr">
        <is>
          <t>No</t>
        </is>
      </c>
      <c r="J298" t="inlineStr">
        <is>
          <t>0</t>
        </is>
      </c>
      <c r="K298" t="inlineStr">
        <is>
          <t>Engel, Heino.</t>
        </is>
      </c>
      <c r="L298" t="inlineStr">
        <is>
          <t>Rutland, Vt. : C. E. Tuttle Co., 1964.</t>
        </is>
      </c>
      <c r="M298" t="inlineStr">
        <is>
          <t>1964</t>
        </is>
      </c>
      <c r="N298" t="inlineStr">
        <is>
          <t>[1st ed.]</t>
        </is>
      </c>
      <c r="O298" t="inlineStr">
        <is>
          <t>eng</t>
        </is>
      </c>
      <c r="P298" t="inlineStr">
        <is>
          <t>vtu</t>
        </is>
      </c>
      <c r="R298" t="inlineStr">
        <is>
          <t xml:space="preserve">NA </t>
        </is>
      </c>
      <c r="S298" t="n">
        <v>2</v>
      </c>
      <c r="T298" t="n">
        <v>2</v>
      </c>
      <c r="U298" t="inlineStr">
        <is>
          <t>1994-10-13</t>
        </is>
      </c>
      <c r="V298" t="inlineStr">
        <is>
          <t>1994-10-13</t>
        </is>
      </c>
      <c r="W298" t="inlineStr">
        <is>
          <t>1993-05-14</t>
        </is>
      </c>
      <c r="X298" t="inlineStr">
        <is>
          <t>1993-05-14</t>
        </is>
      </c>
      <c r="Y298" t="n">
        <v>661</v>
      </c>
      <c r="Z298" t="n">
        <v>530</v>
      </c>
      <c r="AA298" t="n">
        <v>539</v>
      </c>
      <c r="AB298" t="n">
        <v>5</v>
      </c>
      <c r="AC298" t="n">
        <v>5</v>
      </c>
      <c r="AD298" t="n">
        <v>14</v>
      </c>
      <c r="AE298" t="n">
        <v>14</v>
      </c>
      <c r="AF298" t="n">
        <v>7</v>
      </c>
      <c r="AG298" t="n">
        <v>7</v>
      </c>
      <c r="AH298" t="n">
        <v>2</v>
      </c>
      <c r="AI298" t="n">
        <v>2</v>
      </c>
      <c r="AJ298" t="n">
        <v>3</v>
      </c>
      <c r="AK298" t="n">
        <v>3</v>
      </c>
      <c r="AL298" t="n">
        <v>4</v>
      </c>
      <c r="AM298" t="n">
        <v>4</v>
      </c>
      <c r="AN298" t="n">
        <v>0</v>
      </c>
      <c r="AO298" t="n">
        <v>0</v>
      </c>
      <c r="AP298" t="inlineStr">
        <is>
          <t>No</t>
        </is>
      </c>
      <c r="AQ298" t="inlineStr">
        <is>
          <t>Yes</t>
        </is>
      </c>
      <c r="AR298">
        <f>HYPERLINK("http://catalog.hathitrust.org/Record/000645270","HathiTrust Record")</f>
        <v/>
      </c>
      <c r="AS298">
        <f>HYPERLINK("https://creighton-primo.hosted.exlibrisgroup.com/primo-explore/search?tab=default_tab&amp;search_scope=EVERYTHING&amp;vid=01CRU&amp;lang=en_US&amp;offset=0&amp;query=any,contains,991002608949702656","Catalog Record")</f>
        <v/>
      </c>
      <c r="AT298">
        <f>HYPERLINK("http://www.worldcat.org/oclc/377495","WorldCat Record")</f>
        <v/>
      </c>
      <c r="AU298" t="inlineStr">
        <is>
          <t>10792279540:eng</t>
        </is>
      </c>
      <c r="AV298" t="inlineStr">
        <is>
          <t>377495</t>
        </is>
      </c>
      <c r="AW298" t="inlineStr">
        <is>
          <t>991002608949702656</t>
        </is>
      </c>
      <c r="AX298" t="inlineStr">
        <is>
          <t>991002608949702656</t>
        </is>
      </c>
      <c r="AY298" t="inlineStr">
        <is>
          <t>2262989830002656</t>
        </is>
      </c>
      <c r="AZ298" t="inlineStr">
        <is>
          <t>BOOK</t>
        </is>
      </c>
      <c r="BC298" t="inlineStr">
        <is>
          <t>32285001658243</t>
        </is>
      </c>
      <c r="BD298" t="inlineStr">
        <is>
          <t>893233172</t>
        </is>
      </c>
    </row>
    <row r="299">
      <c r="A299" t="inlineStr">
        <is>
          <t>No</t>
        </is>
      </c>
      <c r="B299" t="inlineStr">
        <is>
          <t>NA7451 .F813 1983</t>
        </is>
      </c>
      <c r="C299" t="inlineStr">
        <is>
          <t>0                      NA 7451000F  813         1983</t>
        </is>
      </c>
      <c r="D299" t="inlineStr">
        <is>
          <t>Traditional Japanese houses / edited and photographed by Yukio Futagawa ; text by Teiji Itoh ; photographic assistance: Toshiharu Kitajima ; design: Gan Hosoya ; translation: Richard L. Gage.</t>
        </is>
      </c>
      <c r="F299" t="inlineStr">
        <is>
          <t>No</t>
        </is>
      </c>
      <c r="G299" t="inlineStr">
        <is>
          <t>1</t>
        </is>
      </c>
      <c r="H299" t="inlineStr">
        <is>
          <t>No</t>
        </is>
      </c>
      <c r="I299" t="inlineStr">
        <is>
          <t>No</t>
        </is>
      </c>
      <c r="J299" t="inlineStr">
        <is>
          <t>0</t>
        </is>
      </c>
      <c r="K299" t="inlineStr">
        <is>
          <t>Futagawa, Yukio, 1932-2013.</t>
        </is>
      </c>
      <c r="L299" t="inlineStr">
        <is>
          <t>New York : Rizzoli, 1983.</t>
        </is>
      </c>
      <c r="M299" t="inlineStr">
        <is>
          <t>1983</t>
        </is>
      </c>
      <c r="O299" t="inlineStr">
        <is>
          <t>eng</t>
        </is>
      </c>
      <c r="P299" t="inlineStr">
        <is>
          <t>nyu</t>
        </is>
      </c>
      <c r="R299" t="inlineStr">
        <is>
          <t xml:space="preserve">NA </t>
        </is>
      </c>
      <c r="S299" t="n">
        <v>5</v>
      </c>
      <c r="T299" t="n">
        <v>5</v>
      </c>
      <c r="U299" t="inlineStr">
        <is>
          <t>1994-10-13</t>
        </is>
      </c>
      <c r="V299" t="inlineStr">
        <is>
          <t>1994-10-13</t>
        </is>
      </c>
      <c r="W299" t="inlineStr">
        <is>
          <t>1993-05-14</t>
        </is>
      </c>
      <c r="X299" t="inlineStr">
        <is>
          <t>1993-05-14</t>
        </is>
      </c>
      <c r="Y299" t="n">
        <v>332</v>
      </c>
      <c r="Z299" t="n">
        <v>280</v>
      </c>
      <c r="AA299" t="n">
        <v>280</v>
      </c>
      <c r="AB299" t="n">
        <v>2</v>
      </c>
      <c r="AC299" t="n">
        <v>2</v>
      </c>
      <c r="AD299" t="n">
        <v>12</v>
      </c>
      <c r="AE299" t="n">
        <v>12</v>
      </c>
      <c r="AF299" t="n">
        <v>3</v>
      </c>
      <c r="AG299" t="n">
        <v>3</v>
      </c>
      <c r="AH299" t="n">
        <v>4</v>
      </c>
      <c r="AI299" t="n">
        <v>4</v>
      </c>
      <c r="AJ299" t="n">
        <v>7</v>
      </c>
      <c r="AK299" t="n">
        <v>7</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HYPERLINK("https://creighton-primo.hosted.exlibrisgroup.com/primo-explore/search?tab=default_tab&amp;search_scope=EVERYTHING&amp;vid=01CRU&amp;lang=en_US&amp;offset=0&amp;query=any,contains,991000134709702656","Catalog Record")</f>
        <v/>
      </c>
      <c r="AT299">
        <f>HYPERLINK("http://www.worldcat.org/oclc/9131772","WorldCat Record")</f>
        <v/>
      </c>
      <c r="AU299" t="inlineStr">
        <is>
          <t>5481789617:eng</t>
        </is>
      </c>
      <c r="AV299" t="inlineStr">
        <is>
          <t>9131772</t>
        </is>
      </c>
      <c r="AW299" t="inlineStr">
        <is>
          <t>991000134709702656</t>
        </is>
      </c>
      <c r="AX299" t="inlineStr">
        <is>
          <t>991000134709702656</t>
        </is>
      </c>
      <c r="AY299" t="inlineStr">
        <is>
          <t>2269581790002656</t>
        </is>
      </c>
      <c r="AZ299" t="inlineStr">
        <is>
          <t>BOOK</t>
        </is>
      </c>
      <c r="BB299" t="inlineStr">
        <is>
          <t>9780847804795</t>
        </is>
      </c>
      <c r="BC299" t="inlineStr">
        <is>
          <t>32285001658250</t>
        </is>
      </c>
      <c r="BD299" t="inlineStr">
        <is>
          <t>893871445</t>
        </is>
      </c>
    </row>
    <row r="300">
      <c r="A300" t="inlineStr">
        <is>
          <t>No</t>
        </is>
      </c>
      <c r="B300" t="inlineStr">
        <is>
          <t>NA7451 .I8</t>
        </is>
      </c>
      <c r="C300" t="inlineStr">
        <is>
          <t>0                      NA 7451000I  8</t>
        </is>
      </c>
      <c r="D300" t="inlineStr">
        <is>
          <t>The Japanese house : its interior and exterior / by Tatsuo and Kiyoko Ishimoto.</t>
        </is>
      </c>
      <c r="F300" t="inlineStr">
        <is>
          <t>No</t>
        </is>
      </c>
      <c r="G300" t="inlineStr">
        <is>
          <t>1</t>
        </is>
      </c>
      <c r="H300" t="inlineStr">
        <is>
          <t>No</t>
        </is>
      </c>
      <c r="I300" t="inlineStr">
        <is>
          <t>No</t>
        </is>
      </c>
      <c r="J300" t="inlineStr">
        <is>
          <t>0</t>
        </is>
      </c>
      <c r="K300" t="inlineStr">
        <is>
          <t>Ishimoto, Tatsuo.</t>
        </is>
      </c>
      <c r="L300" t="inlineStr">
        <is>
          <t>New York : Crown, [1963]</t>
        </is>
      </c>
      <c r="M300" t="inlineStr">
        <is>
          <t>1963</t>
        </is>
      </c>
      <c r="O300" t="inlineStr">
        <is>
          <t>eng</t>
        </is>
      </c>
      <c r="P300" t="inlineStr">
        <is>
          <t>nyu</t>
        </is>
      </c>
      <c r="R300" t="inlineStr">
        <is>
          <t xml:space="preserve">NA </t>
        </is>
      </c>
      <c r="S300" t="n">
        <v>8</v>
      </c>
      <c r="T300" t="n">
        <v>8</v>
      </c>
      <c r="U300" t="inlineStr">
        <is>
          <t>1994-11-30</t>
        </is>
      </c>
      <c r="V300" t="inlineStr">
        <is>
          <t>1994-11-30</t>
        </is>
      </c>
      <c r="W300" t="inlineStr">
        <is>
          <t>1993-07-23</t>
        </is>
      </c>
      <c r="X300" t="inlineStr">
        <is>
          <t>1993-07-23</t>
        </is>
      </c>
      <c r="Y300" t="n">
        <v>422</v>
      </c>
      <c r="Z300" t="n">
        <v>392</v>
      </c>
      <c r="AA300" t="n">
        <v>512</v>
      </c>
      <c r="AB300" t="n">
        <v>3</v>
      </c>
      <c r="AC300" t="n">
        <v>5</v>
      </c>
      <c r="AD300" t="n">
        <v>4</v>
      </c>
      <c r="AE300" t="n">
        <v>12</v>
      </c>
      <c r="AF300" t="n">
        <v>2</v>
      </c>
      <c r="AG300" t="n">
        <v>5</v>
      </c>
      <c r="AH300" t="n">
        <v>1</v>
      </c>
      <c r="AI300" t="n">
        <v>1</v>
      </c>
      <c r="AJ300" t="n">
        <v>2</v>
      </c>
      <c r="AK300" t="n">
        <v>5</v>
      </c>
      <c r="AL300" t="n">
        <v>1</v>
      </c>
      <c r="AM300" t="n">
        <v>3</v>
      </c>
      <c r="AN300" t="n">
        <v>0</v>
      </c>
      <c r="AO300" t="n">
        <v>0</v>
      </c>
      <c r="AP300" t="inlineStr">
        <is>
          <t>No</t>
        </is>
      </c>
      <c r="AQ300" t="inlineStr">
        <is>
          <t>Yes</t>
        </is>
      </c>
      <c r="AR300">
        <f>HYPERLINK("http://catalog.hathitrust.org/Record/007125753","HathiTrust Record")</f>
        <v/>
      </c>
      <c r="AS300">
        <f>HYPERLINK("https://creighton-primo.hosted.exlibrisgroup.com/primo-explore/search?tab=default_tab&amp;search_scope=EVERYTHING&amp;vid=01CRU&amp;lang=en_US&amp;offset=0&amp;query=any,contains,991003373039702656","Catalog Record")</f>
        <v/>
      </c>
      <c r="AT300">
        <f>HYPERLINK("http://www.worldcat.org/oclc/909171","WorldCat Record")</f>
        <v/>
      </c>
      <c r="AU300" t="inlineStr">
        <is>
          <t>14904036:eng</t>
        </is>
      </c>
      <c r="AV300" t="inlineStr">
        <is>
          <t>909171</t>
        </is>
      </c>
      <c r="AW300" t="inlineStr">
        <is>
          <t>991003373039702656</t>
        </is>
      </c>
      <c r="AX300" t="inlineStr">
        <is>
          <t>991003373039702656</t>
        </is>
      </c>
      <c r="AY300" t="inlineStr">
        <is>
          <t>2261626670002656</t>
        </is>
      </c>
      <c r="AZ300" t="inlineStr">
        <is>
          <t>BOOK</t>
        </is>
      </c>
      <c r="BC300" t="inlineStr">
        <is>
          <t>32285001724896</t>
        </is>
      </c>
      <c r="BD300" t="inlineStr">
        <is>
          <t>893531131</t>
        </is>
      </c>
    </row>
    <row r="301">
      <c r="A301" t="inlineStr">
        <is>
          <t>No</t>
        </is>
      </c>
      <c r="B301" t="inlineStr">
        <is>
          <t>NA7451 .M6 1961</t>
        </is>
      </c>
      <c r="C301" t="inlineStr">
        <is>
          <t>0                      NA 7451000M  6           1961</t>
        </is>
      </c>
      <c r="D301" t="inlineStr">
        <is>
          <t>Japanese homes and their surroundings / with illus. by the author. With a new introd. by Clay Lancaster.</t>
        </is>
      </c>
      <c r="F301" t="inlineStr">
        <is>
          <t>No</t>
        </is>
      </c>
      <c r="G301" t="inlineStr">
        <is>
          <t>1</t>
        </is>
      </c>
      <c r="H301" t="inlineStr">
        <is>
          <t>No</t>
        </is>
      </c>
      <c r="I301" t="inlineStr">
        <is>
          <t>No</t>
        </is>
      </c>
      <c r="J301" t="inlineStr">
        <is>
          <t>0</t>
        </is>
      </c>
      <c r="K301" t="inlineStr">
        <is>
          <t>Morse, Edward Sylvester, 1838-1925.</t>
        </is>
      </c>
      <c r="L301" t="inlineStr">
        <is>
          <t>New York : Dover Publications, [1961]</t>
        </is>
      </c>
      <c r="M301" t="inlineStr">
        <is>
          <t>1961</t>
        </is>
      </c>
      <c r="O301" t="inlineStr">
        <is>
          <t>eng</t>
        </is>
      </c>
      <c r="P301" t="inlineStr">
        <is>
          <t>nyu</t>
        </is>
      </c>
      <c r="R301" t="inlineStr">
        <is>
          <t xml:space="preserve">NA </t>
        </is>
      </c>
      <c r="S301" t="n">
        <v>6</v>
      </c>
      <c r="T301" t="n">
        <v>6</v>
      </c>
      <c r="U301" t="inlineStr">
        <is>
          <t>2000-02-15</t>
        </is>
      </c>
      <c r="V301" t="inlineStr">
        <is>
          <t>2000-02-15</t>
        </is>
      </c>
      <c r="W301" t="inlineStr">
        <is>
          <t>1993-01-08</t>
        </is>
      </c>
      <c r="X301" t="inlineStr">
        <is>
          <t>1993-01-08</t>
        </is>
      </c>
      <c r="Y301" t="n">
        <v>930</v>
      </c>
      <c r="Z301" t="n">
        <v>783</v>
      </c>
      <c r="AA301" t="n">
        <v>1110</v>
      </c>
      <c r="AB301" t="n">
        <v>5</v>
      </c>
      <c r="AC301" t="n">
        <v>6</v>
      </c>
      <c r="AD301" t="n">
        <v>25</v>
      </c>
      <c r="AE301" t="n">
        <v>35</v>
      </c>
      <c r="AF301" t="n">
        <v>13</v>
      </c>
      <c r="AG301" t="n">
        <v>15</v>
      </c>
      <c r="AH301" t="n">
        <v>4</v>
      </c>
      <c r="AI301" t="n">
        <v>8</v>
      </c>
      <c r="AJ301" t="n">
        <v>10</v>
      </c>
      <c r="AK301" t="n">
        <v>16</v>
      </c>
      <c r="AL301" t="n">
        <v>3</v>
      </c>
      <c r="AM301" t="n">
        <v>3</v>
      </c>
      <c r="AN301" t="n">
        <v>0</v>
      </c>
      <c r="AO301" t="n">
        <v>0</v>
      </c>
      <c r="AP301" t="inlineStr">
        <is>
          <t>No</t>
        </is>
      </c>
      <c r="AQ301" t="inlineStr">
        <is>
          <t>Yes</t>
        </is>
      </c>
      <c r="AR301">
        <f>HYPERLINK("http://catalog.hathitrust.org/Record/000561626","HathiTrust Record")</f>
        <v/>
      </c>
      <c r="AS301">
        <f>HYPERLINK("https://creighton-primo.hosted.exlibrisgroup.com/primo-explore/search?tab=default_tab&amp;search_scope=EVERYTHING&amp;vid=01CRU&amp;lang=en_US&amp;offset=0&amp;query=any,contains,991002895029702656","Catalog Record")</f>
        <v/>
      </c>
      <c r="AT301">
        <f>HYPERLINK("http://www.worldcat.org/oclc/513722","WorldCat Record")</f>
        <v/>
      </c>
      <c r="AU301" t="inlineStr">
        <is>
          <t>460036:eng</t>
        </is>
      </c>
      <c r="AV301" t="inlineStr">
        <is>
          <t>513722</t>
        </is>
      </c>
      <c r="AW301" t="inlineStr">
        <is>
          <t>991002895029702656</t>
        </is>
      </c>
      <c r="AX301" t="inlineStr">
        <is>
          <t>991002895029702656</t>
        </is>
      </c>
      <c r="AY301" t="inlineStr">
        <is>
          <t>2262442690002656</t>
        </is>
      </c>
      <c r="AZ301" t="inlineStr">
        <is>
          <t>BOOK</t>
        </is>
      </c>
      <c r="BB301" t="inlineStr">
        <is>
          <t>9780486207469</t>
        </is>
      </c>
      <c r="BC301" t="inlineStr">
        <is>
          <t>32285001474476</t>
        </is>
      </c>
      <c r="BD301" t="inlineStr">
        <is>
          <t>893227406</t>
        </is>
      </c>
    </row>
    <row r="302">
      <c r="A302" t="inlineStr">
        <is>
          <t>No</t>
        </is>
      </c>
      <c r="B302" t="inlineStr">
        <is>
          <t>NA7451 .S55813 1981</t>
        </is>
      </c>
      <c r="C302" t="inlineStr">
        <is>
          <t>0                      NA 7451000S  55813       1981</t>
        </is>
      </c>
      <c r="D302" t="inlineStr">
        <is>
          <t>Architecture in the shoin style : Japanese feudal residences / [edited by] Fumio Hashimoto ; translated and adapted by H. Mack Horton.</t>
        </is>
      </c>
      <c r="F302" t="inlineStr">
        <is>
          <t>No</t>
        </is>
      </c>
      <c r="G302" t="inlineStr">
        <is>
          <t>1</t>
        </is>
      </c>
      <c r="H302" t="inlineStr">
        <is>
          <t>No</t>
        </is>
      </c>
      <c r="I302" t="inlineStr">
        <is>
          <t>No</t>
        </is>
      </c>
      <c r="J302" t="inlineStr">
        <is>
          <t>0</t>
        </is>
      </c>
      <c r="L302" t="inlineStr">
        <is>
          <t>Tokyo ; New York : Kodansha International ; New York : distributed in the United States through Harper &amp; Row, 1981, c1980.</t>
        </is>
      </c>
      <c r="M302" t="inlineStr">
        <is>
          <t>1981</t>
        </is>
      </c>
      <c r="N302" t="inlineStr">
        <is>
          <t>1st ed.</t>
        </is>
      </c>
      <c r="O302" t="inlineStr">
        <is>
          <t>eng</t>
        </is>
      </c>
      <c r="P302" t="inlineStr">
        <is>
          <t xml:space="preserve">ja </t>
        </is>
      </c>
      <c r="Q302" t="inlineStr">
        <is>
          <t>Japanese arts library ; v.10</t>
        </is>
      </c>
      <c r="R302" t="inlineStr">
        <is>
          <t xml:space="preserve">NA </t>
        </is>
      </c>
      <c r="S302" t="n">
        <v>2</v>
      </c>
      <c r="T302" t="n">
        <v>2</v>
      </c>
      <c r="U302" t="inlineStr">
        <is>
          <t>2005-10-28</t>
        </is>
      </c>
      <c r="V302" t="inlineStr">
        <is>
          <t>2005-10-28</t>
        </is>
      </c>
      <c r="W302" t="inlineStr">
        <is>
          <t>1993-05-14</t>
        </is>
      </c>
      <c r="X302" t="inlineStr">
        <is>
          <t>1993-05-14</t>
        </is>
      </c>
      <c r="Y302" t="n">
        <v>335</v>
      </c>
      <c r="Z302" t="n">
        <v>263</v>
      </c>
      <c r="AA302" t="n">
        <v>264</v>
      </c>
      <c r="AB302" t="n">
        <v>2</v>
      </c>
      <c r="AC302" t="n">
        <v>2</v>
      </c>
      <c r="AD302" t="n">
        <v>10</v>
      </c>
      <c r="AE302" t="n">
        <v>10</v>
      </c>
      <c r="AF302" t="n">
        <v>4</v>
      </c>
      <c r="AG302" t="n">
        <v>4</v>
      </c>
      <c r="AH302" t="n">
        <v>3</v>
      </c>
      <c r="AI302" t="n">
        <v>3</v>
      </c>
      <c r="AJ302" t="n">
        <v>6</v>
      </c>
      <c r="AK302" t="n">
        <v>6</v>
      </c>
      <c r="AL302" t="n">
        <v>1</v>
      </c>
      <c r="AM302" t="n">
        <v>1</v>
      </c>
      <c r="AN302" t="n">
        <v>0</v>
      </c>
      <c r="AO302" t="n">
        <v>0</v>
      </c>
      <c r="AP302" t="inlineStr">
        <is>
          <t>No</t>
        </is>
      </c>
      <c r="AQ302" t="inlineStr">
        <is>
          <t>Yes</t>
        </is>
      </c>
      <c r="AR302">
        <f>HYPERLINK("http://catalog.hathitrust.org/Record/000223962","HathiTrust Record")</f>
        <v/>
      </c>
      <c r="AS302">
        <f>HYPERLINK("https://creighton-primo.hosted.exlibrisgroup.com/primo-explore/search?tab=default_tab&amp;search_scope=EVERYTHING&amp;vid=01CRU&amp;lang=en_US&amp;offset=0&amp;query=any,contains,991005048569702656","Catalog Record")</f>
        <v/>
      </c>
      <c r="AT302">
        <f>HYPERLINK("http://www.worldcat.org/oclc/6862331","WorldCat Record")</f>
        <v/>
      </c>
      <c r="AU302" t="inlineStr">
        <is>
          <t>961365745:eng</t>
        </is>
      </c>
      <c r="AV302" t="inlineStr">
        <is>
          <t>6862331</t>
        </is>
      </c>
      <c r="AW302" t="inlineStr">
        <is>
          <t>991005048569702656</t>
        </is>
      </c>
      <c r="AX302" t="inlineStr">
        <is>
          <t>991005048569702656</t>
        </is>
      </c>
      <c r="AY302" t="inlineStr">
        <is>
          <t>2272702710002656</t>
        </is>
      </c>
      <c r="AZ302" t="inlineStr">
        <is>
          <t>BOOK</t>
        </is>
      </c>
      <c r="BB302" t="inlineStr">
        <is>
          <t>9780870114144</t>
        </is>
      </c>
      <c r="BC302" t="inlineStr">
        <is>
          <t>32285001658268</t>
        </is>
      </c>
      <c r="BD302" t="inlineStr">
        <is>
          <t>893776744</t>
        </is>
      </c>
    </row>
    <row r="303">
      <c r="A303" t="inlineStr">
        <is>
          <t>No</t>
        </is>
      </c>
      <c r="B303" t="inlineStr">
        <is>
          <t>NA7540 .D38 1995</t>
        </is>
      </c>
      <c r="C303" t="inlineStr">
        <is>
          <t>0                      NA 7540000D  38          1995</t>
        </is>
      </c>
      <c r="D303" t="inlineStr">
        <is>
          <t>The architecture of affordable housing / Sam Davis.</t>
        </is>
      </c>
      <c r="F303" t="inlineStr">
        <is>
          <t>No</t>
        </is>
      </c>
      <c r="G303" t="inlineStr">
        <is>
          <t>1</t>
        </is>
      </c>
      <c r="H303" t="inlineStr">
        <is>
          <t>No</t>
        </is>
      </c>
      <c r="I303" t="inlineStr">
        <is>
          <t>No</t>
        </is>
      </c>
      <c r="J303" t="inlineStr">
        <is>
          <t>0</t>
        </is>
      </c>
      <c r="K303" t="inlineStr">
        <is>
          <t>Davis, Sam.</t>
        </is>
      </c>
      <c r="L303" t="inlineStr">
        <is>
          <t>Berkeley, CA : University of California Press, c1995.</t>
        </is>
      </c>
      <c r="M303" t="inlineStr">
        <is>
          <t>1995</t>
        </is>
      </c>
      <c r="O303" t="inlineStr">
        <is>
          <t>eng</t>
        </is>
      </c>
      <c r="P303" t="inlineStr">
        <is>
          <t>cau</t>
        </is>
      </c>
      <c r="R303" t="inlineStr">
        <is>
          <t xml:space="preserve">NA </t>
        </is>
      </c>
      <c r="S303" t="n">
        <v>6</v>
      </c>
      <c r="T303" t="n">
        <v>6</v>
      </c>
      <c r="U303" t="inlineStr">
        <is>
          <t>2004-08-02</t>
        </is>
      </c>
      <c r="V303" t="inlineStr">
        <is>
          <t>2004-08-02</t>
        </is>
      </c>
      <c r="W303" t="inlineStr">
        <is>
          <t>1995-05-17</t>
        </is>
      </c>
      <c r="X303" t="inlineStr">
        <is>
          <t>1995-05-17</t>
        </is>
      </c>
      <c r="Y303" t="n">
        <v>623</v>
      </c>
      <c r="Z303" t="n">
        <v>513</v>
      </c>
      <c r="AA303" t="n">
        <v>519</v>
      </c>
      <c r="AB303" t="n">
        <v>3</v>
      </c>
      <c r="AC303" t="n">
        <v>3</v>
      </c>
      <c r="AD303" t="n">
        <v>19</v>
      </c>
      <c r="AE303" t="n">
        <v>19</v>
      </c>
      <c r="AF303" t="n">
        <v>6</v>
      </c>
      <c r="AG303" t="n">
        <v>6</v>
      </c>
      <c r="AH303" t="n">
        <v>5</v>
      </c>
      <c r="AI303" t="n">
        <v>5</v>
      </c>
      <c r="AJ303" t="n">
        <v>10</v>
      </c>
      <c r="AK303" t="n">
        <v>10</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HYPERLINK("https://creighton-primo.hosted.exlibrisgroup.com/primo-explore/search?tab=default_tab&amp;search_scope=EVERYTHING&amp;vid=01CRU&amp;lang=en_US&amp;offset=0&amp;query=any,contains,991002327109702656","Catalog Record")</f>
        <v/>
      </c>
      <c r="AT303">
        <f>HYPERLINK("http://www.worldcat.org/oclc/30318144","WorldCat Record")</f>
        <v/>
      </c>
      <c r="AU303" t="inlineStr">
        <is>
          <t>44405472:eng</t>
        </is>
      </c>
      <c r="AV303" t="inlineStr">
        <is>
          <t>30318144</t>
        </is>
      </c>
      <c r="AW303" t="inlineStr">
        <is>
          <t>991002327109702656</t>
        </is>
      </c>
      <c r="AX303" t="inlineStr">
        <is>
          <t>991002327109702656</t>
        </is>
      </c>
      <c r="AY303" t="inlineStr">
        <is>
          <t>2265373820002656</t>
        </is>
      </c>
      <c r="AZ303" t="inlineStr">
        <is>
          <t>BOOK</t>
        </is>
      </c>
      <c r="BB303" t="inlineStr">
        <is>
          <t>9780520087583</t>
        </is>
      </c>
      <c r="BC303" t="inlineStr">
        <is>
          <t>32285002045580</t>
        </is>
      </c>
      <c r="BD303" t="inlineStr">
        <is>
          <t>893597311</t>
        </is>
      </c>
    </row>
    <row r="304">
      <c r="A304" t="inlineStr">
        <is>
          <t>No</t>
        </is>
      </c>
      <c r="B304" t="inlineStr">
        <is>
          <t>NA7561 .V66 1982</t>
        </is>
      </c>
      <c r="C304" t="inlineStr">
        <is>
          <t>0                      NA 7561000V  66          1982</t>
        </is>
      </c>
      <c r="D304" t="inlineStr">
        <is>
          <t>Country and suburban homes of the Prairie School period : with 424 photographs and floor plans / by Hermann Valentin von Holst.</t>
        </is>
      </c>
      <c r="F304" t="inlineStr">
        <is>
          <t>No</t>
        </is>
      </c>
      <c r="G304" t="inlineStr">
        <is>
          <t>1</t>
        </is>
      </c>
      <c r="H304" t="inlineStr">
        <is>
          <t>No</t>
        </is>
      </c>
      <c r="I304" t="inlineStr">
        <is>
          <t>No</t>
        </is>
      </c>
      <c r="J304" t="inlineStr">
        <is>
          <t>0</t>
        </is>
      </c>
      <c r="K304" t="inlineStr">
        <is>
          <t>Von Holst, H. V. (Hermann Valentin), 1874-1955.</t>
        </is>
      </c>
      <c r="L304" t="inlineStr">
        <is>
          <t>New York : Dover Publications, 1982.</t>
        </is>
      </c>
      <c r="M304" t="inlineStr">
        <is>
          <t>1982</t>
        </is>
      </c>
      <c r="O304" t="inlineStr">
        <is>
          <t>eng</t>
        </is>
      </c>
      <c r="P304" t="inlineStr">
        <is>
          <t>nyu</t>
        </is>
      </c>
      <c r="Q304" t="inlineStr">
        <is>
          <t>Dover books on architecture</t>
        </is>
      </c>
      <c r="R304" t="inlineStr">
        <is>
          <t xml:space="preserve">NA </t>
        </is>
      </c>
      <c r="S304" t="n">
        <v>6</v>
      </c>
      <c r="T304" t="n">
        <v>6</v>
      </c>
      <c r="U304" t="inlineStr">
        <is>
          <t>2002-04-25</t>
        </is>
      </c>
      <c r="V304" t="inlineStr">
        <is>
          <t>2002-04-25</t>
        </is>
      </c>
      <c r="W304" t="inlineStr">
        <is>
          <t>1991-01-25</t>
        </is>
      </c>
      <c r="X304" t="inlineStr">
        <is>
          <t>1991-01-25</t>
        </is>
      </c>
      <c r="Y304" t="n">
        <v>472</v>
      </c>
      <c r="Z304" t="n">
        <v>440</v>
      </c>
      <c r="AA304" t="n">
        <v>462</v>
      </c>
      <c r="AB304" t="n">
        <v>4</v>
      </c>
      <c r="AC304" t="n">
        <v>5</v>
      </c>
      <c r="AD304" t="n">
        <v>11</v>
      </c>
      <c r="AE304" t="n">
        <v>12</v>
      </c>
      <c r="AF304" t="n">
        <v>3</v>
      </c>
      <c r="AG304" t="n">
        <v>3</v>
      </c>
      <c r="AH304" t="n">
        <v>4</v>
      </c>
      <c r="AI304" t="n">
        <v>4</v>
      </c>
      <c r="AJ304" t="n">
        <v>3</v>
      </c>
      <c r="AK304" t="n">
        <v>3</v>
      </c>
      <c r="AL304" t="n">
        <v>2</v>
      </c>
      <c r="AM304" t="n">
        <v>3</v>
      </c>
      <c r="AN304" t="n">
        <v>0</v>
      </c>
      <c r="AO304" t="n">
        <v>0</v>
      </c>
      <c r="AP304" t="inlineStr">
        <is>
          <t>No</t>
        </is>
      </c>
      <c r="AQ304" t="inlineStr">
        <is>
          <t>Yes</t>
        </is>
      </c>
      <c r="AR304">
        <f>HYPERLINK("http://catalog.hathitrust.org/Record/004063986","HathiTrust Record")</f>
        <v/>
      </c>
      <c r="AS304">
        <f>HYPERLINK("https://creighton-primo.hosted.exlibrisgroup.com/primo-explore/search?tab=default_tab&amp;search_scope=EVERYTHING&amp;vid=01CRU&amp;lang=en_US&amp;offset=0&amp;query=any,contains,991005251079702656","Catalog Record")</f>
        <v/>
      </c>
      <c r="AT304">
        <f>HYPERLINK("http://www.worldcat.org/oclc/8493428","WorldCat Record")</f>
        <v/>
      </c>
      <c r="AU304" t="inlineStr">
        <is>
          <t>136193827:eng</t>
        </is>
      </c>
      <c r="AV304" t="inlineStr">
        <is>
          <t>8493428</t>
        </is>
      </c>
      <c r="AW304" t="inlineStr">
        <is>
          <t>991005251079702656</t>
        </is>
      </c>
      <c r="AX304" t="inlineStr">
        <is>
          <t>991005251079702656</t>
        </is>
      </c>
      <c r="AY304" t="inlineStr">
        <is>
          <t>2261543330002656</t>
        </is>
      </c>
      <c r="AZ304" t="inlineStr">
        <is>
          <t>BOOK</t>
        </is>
      </c>
      <c r="BB304" t="inlineStr">
        <is>
          <t>9780486243733</t>
        </is>
      </c>
      <c r="BC304" t="inlineStr">
        <is>
          <t>32285000298959</t>
        </is>
      </c>
      <c r="BD304" t="inlineStr">
        <is>
          <t>893694984</t>
        </is>
      </c>
    </row>
    <row r="305">
      <c r="A305" t="inlineStr">
        <is>
          <t>No</t>
        </is>
      </c>
      <c r="B305" t="inlineStr">
        <is>
          <t>NA7562 .G5 1979</t>
        </is>
      </c>
      <c r="C305" t="inlineStr">
        <is>
          <t>0                      NA 7562000G  5           1979</t>
        </is>
      </c>
      <c r="D305" t="inlineStr">
        <is>
          <t>The Victorian country house / Mark Girouard.</t>
        </is>
      </c>
      <c r="F305" t="inlineStr">
        <is>
          <t>No</t>
        </is>
      </c>
      <c r="G305" t="inlineStr">
        <is>
          <t>1</t>
        </is>
      </c>
      <c r="H305" t="inlineStr">
        <is>
          <t>No</t>
        </is>
      </c>
      <c r="I305" t="inlineStr">
        <is>
          <t>No</t>
        </is>
      </c>
      <c r="J305" t="inlineStr">
        <is>
          <t>0</t>
        </is>
      </c>
      <c r="K305" t="inlineStr">
        <is>
          <t>Girouard, Mark, 1931-</t>
        </is>
      </c>
      <c r="L305" t="inlineStr">
        <is>
          <t>New Haven : Yale University, 1979.</t>
        </is>
      </c>
      <c r="M305" t="inlineStr">
        <is>
          <t>1979</t>
        </is>
      </c>
      <c r="N305" t="inlineStr">
        <is>
          <t>Rev. and enl. ed.</t>
        </is>
      </c>
      <c r="O305" t="inlineStr">
        <is>
          <t>eng</t>
        </is>
      </c>
      <c r="P305" t="inlineStr">
        <is>
          <t>ctu</t>
        </is>
      </c>
      <c r="R305" t="inlineStr">
        <is>
          <t xml:space="preserve">NA </t>
        </is>
      </c>
      <c r="S305" t="n">
        <v>7</v>
      </c>
      <c r="T305" t="n">
        <v>7</v>
      </c>
      <c r="U305" t="inlineStr">
        <is>
          <t>1997-07-23</t>
        </is>
      </c>
      <c r="V305" t="inlineStr">
        <is>
          <t>1997-07-23</t>
        </is>
      </c>
      <c r="W305" t="inlineStr">
        <is>
          <t>1992-07-27</t>
        </is>
      </c>
      <c r="X305" t="inlineStr">
        <is>
          <t>1992-07-27</t>
        </is>
      </c>
      <c r="Y305" t="n">
        <v>924</v>
      </c>
      <c r="Z305" t="n">
        <v>703</v>
      </c>
      <c r="AA305" t="n">
        <v>861</v>
      </c>
      <c r="AB305" t="n">
        <v>3</v>
      </c>
      <c r="AC305" t="n">
        <v>4</v>
      </c>
      <c r="AD305" t="n">
        <v>24</v>
      </c>
      <c r="AE305" t="n">
        <v>29</v>
      </c>
      <c r="AF305" t="n">
        <v>9</v>
      </c>
      <c r="AG305" t="n">
        <v>11</v>
      </c>
      <c r="AH305" t="n">
        <v>8</v>
      </c>
      <c r="AI305" t="n">
        <v>9</v>
      </c>
      <c r="AJ305" t="n">
        <v>12</v>
      </c>
      <c r="AK305" t="n">
        <v>14</v>
      </c>
      <c r="AL305" t="n">
        <v>2</v>
      </c>
      <c r="AM305" t="n">
        <v>3</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HYPERLINK("https://creighton-primo.hosted.exlibrisgroup.com/primo-explore/search?tab=default_tab&amp;search_scope=EVERYTHING&amp;vid=01CRU&amp;lang=en_US&amp;offset=0&amp;query=any,contains,991004765239702656","Catalog Record")</f>
        <v/>
      </c>
      <c r="AT305">
        <f>HYPERLINK("http://www.worldcat.org/oclc/5028996","WorldCat Record")</f>
        <v/>
      </c>
      <c r="AU305" t="inlineStr">
        <is>
          <t>118657291:eng</t>
        </is>
      </c>
      <c r="AV305" t="inlineStr">
        <is>
          <t>5028996</t>
        </is>
      </c>
      <c r="AW305" t="inlineStr">
        <is>
          <t>991004765239702656</t>
        </is>
      </c>
      <c r="AX305" t="inlineStr">
        <is>
          <t>991004765239702656</t>
        </is>
      </c>
      <c r="AY305" t="inlineStr">
        <is>
          <t>2272474010002656</t>
        </is>
      </c>
      <c r="AZ305" t="inlineStr">
        <is>
          <t>BOOK</t>
        </is>
      </c>
      <c r="BB305" t="inlineStr">
        <is>
          <t>9780300023909</t>
        </is>
      </c>
      <c r="BC305" t="inlineStr">
        <is>
          <t>32285001207033</t>
        </is>
      </c>
      <c r="BD305" t="inlineStr">
        <is>
          <t>893500925</t>
        </is>
      </c>
    </row>
    <row r="306">
      <c r="A306" t="inlineStr">
        <is>
          <t>No</t>
        </is>
      </c>
      <c r="B306" t="inlineStr">
        <is>
          <t>NA759.B36 E35 2001</t>
        </is>
      </c>
      <c r="C306" t="inlineStr">
        <is>
          <t>0                      NA 0759000B  36                 E  35          2001</t>
        </is>
      </c>
      <c r="D306" t="inlineStr">
        <is>
          <t>Luis Barragán's gardens of El Pedregal / Keith Eggener ; foreword by Marc Treib.</t>
        </is>
      </c>
      <c r="F306" t="inlineStr">
        <is>
          <t>No</t>
        </is>
      </c>
      <c r="G306" t="inlineStr">
        <is>
          <t>1</t>
        </is>
      </c>
      <c r="H306" t="inlineStr">
        <is>
          <t>No</t>
        </is>
      </c>
      <c r="I306" t="inlineStr">
        <is>
          <t>No</t>
        </is>
      </c>
      <c r="J306" t="inlineStr">
        <is>
          <t>0</t>
        </is>
      </c>
      <c r="K306" t="inlineStr">
        <is>
          <t>Eggener, Keith.</t>
        </is>
      </c>
      <c r="L306" t="inlineStr">
        <is>
          <t>New York : Princeton Architectural Press, c2001.</t>
        </is>
      </c>
      <c r="M306" t="inlineStr">
        <is>
          <t>2001</t>
        </is>
      </c>
      <c r="N306" t="inlineStr">
        <is>
          <t>1st ed.</t>
        </is>
      </c>
      <c r="O306" t="inlineStr">
        <is>
          <t>eng</t>
        </is>
      </c>
      <c r="P306" t="inlineStr">
        <is>
          <t>nyu</t>
        </is>
      </c>
      <c r="R306" t="inlineStr">
        <is>
          <t xml:space="preserve">NA </t>
        </is>
      </c>
      <c r="S306" t="n">
        <v>1</v>
      </c>
      <c r="T306" t="n">
        <v>1</v>
      </c>
      <c r="U306" t="inlineStr">
        <is>
          <t>2008-03-19</t>
        </is>
      </c>
      <c r="V306" t="inlineStr">
        <is>
          <t>2008-03-19</t>
        </is>
      </c>
      <c r="W306" t="inlineStr">
        <is>
          <t>2008-03-19</t>
        </is>
      </c>
      <c r="X306" t="inlineStr">
        <is>
          <t>2008-03-19</t>
        </is>
      </c>
      <c r="Y306" t="n">
        <v>330</v>
      </c>
      <c r="Z306" t="n">
        <v>241</v>
      </c>
      <c r="AA306" t="n">
        <v>245</v>
      </c>
      <c r="AB306" t="n">
        <v>4</v>
      </c>
      <c r="AC306" t="n">
        <v>4</v>
      </c>
      <c r="AD306" t="n">
        <v>8</v>
      </c>
      <c r="AE306" t="n">
        <v>9</v>
      </c>
      <c r="AF306" t="n">
        <v>2</v>
      </c>
      <c r="AG306" t="n">
        <v>2</v>
      </c>
      <c r="AH306" t="n">
        <v>2</v>
      </c>
      <c r="AI306" t="n">
        <v>2</v>
      </c>
      <c r="AJ306" t="n">
        <v>2</v>
      </c>
      <c r="AK306" t="n">
        <v>3</v>
      </c>
      <c r="AL306" t="n">
        <v>3</v>
      </c>
      <c r="AM306" t="n">
        <v>3</v>
      </c>
      <c r="AN306" t="n">
        <v>0</v>
      </c>
      <c r="AO306" t="n">
        <v>0</v>
      </c>
      <c r="AP306" t="inlineStr">
        <is>
          <t>No</t>
        </is>
      </c>
      <c r="AQ306" t="inlineStr">
        <is>
          <t>Yes</t>
        </is>
      </c>
      <c r="AR306">
        <f>HYPERLINK("http://catalog.hathitrust.org/Record/004207451","HathiTrust Record")</f>
        <v/>
      </c>
      <c r="AS306">
        <f>HYPERLINK("https://creighton-primo.hosted.exlibrisgroup.com/primo-explore/search?tab=default_tab&amp;search_scope=EVERYTHING&amp;vid=01CRU&amp;lang=en_US&amp;offset=0&amp;query=any,contains,991005191859702656","Catalog Record")</f>
        <v/>
      </c>
      <c r="AT306">
        <f>HYPERLINK("http://www.worldcat.org/oclc/45708095","WorldCat Record")</f>
        <v/>
      </c>
      <c r="AU306" t="inlineStr">
        <is>
          <t>10936549:eng</t>
        </is>
      </c>
      <c r="AV306" t="inlineStr">
        <is>
          <t>45708095</t>
        </is>
      </c>
      <c r="AW306" t="inlineStr">
        <is>
          <t>991005191859702656</t>
        </is>
      </c>
      <c r="AX306" t="inlineStr">
        <is>
          <t>991005191859702656</t>
        </is>
      </c>
      <c r="AY306" t="inlineStr">
        <is>
          <t>2259244210002656</t>
        </is>
      </c>
      <c r="AZ306" t="inlineStr">
        <is>
          <t>BOOK</t>
        </is>
      </c>
      <c r="BB306" t="inlineStr">
        <is>
          <t>9781568982670</t>
        </is>
      </c>
      <c r="BC306" t="inlineStr">
        <is>
          <t>32285005397905</t>
        </is>
      </c>
      <c r="BD306" t="inlineStr">
        <is>
          <t>893514209</t>
        </is>
      </c>
    </row>
    <row r="307">
      <c r="A307" t="inlineStr">
        <is>
          <t>No</t>
        </is>
      </c>
      <c r="B307" t="inlineStr">
        <is>
          <t>NA7620 .J33 1989</t>
        </is>
      </c>
      <c r="C307" t="inlineStr">
        <is>
          <t>0                      NA 7620000J  33          1989</t>
        </is>
      </c>
      <c r="D307" t="inlineStr">
        <is>
          <t>The fashioning and functioning of the British country house / edited by Gervase Jackson-Stops ... [et al.]</t>
        </is>
      </c>
      <c r="F307" t="inlineStr">
        <is>
          <t>No</t>
        </is>
      </c>
      <c r="G307" t="inlineStr">
        <is>
          <t>1</t>
        </is>
      </c>
      <c r="H307" t="inlineStr">
        <is>
          <t>No</t>
        </is>
      </c>
      <c r="I307" t="inlineStr">
        <is>
          <t>No</t>
        </is>
      </c>
      <c r="J307" t="inlineStr">
        <is>
          <t>0</t>
        </is>
      </c>
      <c r="L307" t="inlineStr">
        <is>
          <t>Washington, D.C. : National Gallery of Art ; Hanover, N.H. : Distributed by the University Press of New England, 1989.</t>
        </is>
      </c>
      <c r="M307" t="inlineStr">
        <is>
          <t>1989</t>
        </is>
      </c>
      <c r="O307" t="inlineStr">
        <is>
          <t>eng</t>
        </is>
      </c>
      <c r="P307" t="inlineStr">
        <is>
          <t>dcu</t>
        </is>
      </c>
      <c r="Q307" t="inlineStr">
        <is>
          <t>Studies in the history of art, 0091-7338 ; v. 25</t>
        </is>
      </c>
      <c r="R307" t="inlineStr">
        <is>
          <t xml:space="preserve">NA </t>
        </is>
      </c>
      <c r="S307" t="n">
        <v>1</v>
      </c>
      <c r="T307" t="n">
        <v>1</v>
      </c>
      <c r="U307" t="inlineStr">
        <is>
          <t>2004-11-18</t>
        </is>
      </c>
      <c r="V307" t="inlineStr">
        <is>
          <t>2004-11-18</t>
        </is>
      </c>
      <c r="W307" t="inlineStr">
        <is>
          <t>2004-11-18</t>
        </is>
      </c>
      <c r="X307" t="inlineStr">
        <is>
          <t>2004-11-18</t>
        </is>
      </c>
      <c r="Y307" t="n">
        <v>339</v>
      </c>
      <c r="Z307" t="n">
        <v>258</v>
      </c>
      <c r="AA307" t="n">
        <v>259</v>
      </c>
      <c r="AB307" t="n">
        <v>2</v>
      </c>
      <c r="AC307" t="n">
        <v>2</v>
      </c>
      <c r="AD307" t="n">
        <v>10</v>
      </c>
      <c r="AE307" t="n">
        <v>10</v>
      </c>
      <c r="AF307" t="n">
        <v>3</v>
      </c>
      <c r="AG307" t="n">
        <v>3</v>
      </c>
      <c r="AH307" t="n">
        <v>3</v>
      </c>
      <c r="AI307" t="n">
        <v>3</v>
      </c>
      <c r="AJ307" t="n">
        <v>5</v>
      </c>
      <c r="AK307" t="n">
        <v>5</v>
      </c>
      <c r="AL307" t="n">
        <v>0</v>
      </c>
      <c r="AM307" t="n">
        <v>0</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HYPERLINK("https://creighton-primo.hosted.exlibrisgroup.com/primo-explore/search?tab=default_tab&amp;search_scope=EVERYTHING&amp;vid=01CRU&amp;lang=en_US&amp;offset=0&amp;query=any,contains,991004425179702656","Catalog Record")</f>
        <v/>
      </c>
      <c r="AT307">
        <f>HYPERLINK("http://www.worldcat.org/oclc/20860883","WorldCat Record")</f>
        <v/>
      </c>
      <c r="AU307" t="inlineStr">
        <is>
          <t>660480337:eng</t>
        </is>
      </c>
      <c r="AV307" t="inlineStr">
        <is>
          <t>20860883</t>
        </is>
      </c>
      <c r="AW307" t="inlineStr">
        <is>
          <t>991004425179702656</t>
        </is>
      </c>
      <c r="AX307" t="inlineStr">
        <is>
          <t>991004425179702656</t>
        </is>
      </c>
      <c r="AY307" t="inlineStr">
        <is>
          <t>2265234560002656</t>
        </is>
      </c>
      <c r="AZ307" t="inlineStr">
        <is>
          <t>BOOK</t>
        </is>
      </c>
      <c r="BB307" t="inlineStr">
        <is>
          <t>9780894681288</t>
        </is>
      </c>
      <c r="BC307" t="inlineStr">
        <is>
          <t>32285005011753</t>
        </is>
      </c>
      <c r="BD307" t="inlineStr">
        <is>
          <t>893606018</t>
        </is>
      </c>
    </row>
    <row r="308">
      <c r="A308" t="inlineStr">
        <is>
          <t>No</t>
        </is>
      </c>
      <c r="B308" t="inlineStr">
        <is>
          <t>NA7710 .C6513 1979</t>
        </is>
      </c>
      <c r="C308" t="inlineStr">
        <is>
          <t>0                      NA 7710000C  6513        1979</t>
        </is>
      </c>
      <c r="D308" t="inlineStr">
        <is>
          <t>The world of pleasure / Flavio Conti ; translated by Patrick Creagh.</t>
        </is>
      </c>
      <c r="F308" t="inlineStr">
        <is>
          <t>No</t>
        </is>
      </c>
      <c r="G308" t="inlineStr">
        <is>
          <t>1</t>
        </is>
      </c>
      <c r="H308" t="inlineStr">
        <is>
          <t>No</t>
        </is>
      </c>
      <c r="I308" t="inlineStr">
        <is>
          <t>No</t>
        </is>
      </c>
      <c r="J308" t="inlineStr">
        <is>
          <t>0</t>
        </is>
      </c>
      <c r="K308" t="inlineStr">
        <is>
          <t>Conti, Flavio, 1943-</t>
        </is>
      </c>
      <c r="L308" t="inlineStr">
        <is>
          <t>Boston : HBJ Press, c1979.</t>
        </is>
      </c>
      <c r="M308" t="inlineStr">
        <is>
          <t>1979</t>
        </is>
      </c>
      <c r="O308" t="inlineStr">
        <is>
          <t>eng</t>
        </is>
      </c>
      <c r="P308" t="inlineStr">
        <is>
          <t>mau</t>
        </is>
      </c>
      <c r="Q308" t="inlineStr">
        <is>
          <t>United States. Congress. House. House Information Systems. The grand tour</t>
        </is>
      </c>
      <c r="R308" t="inlineStr">
        <is>
          <t xml:space="preserve">NA </t>
        </is>
      </c>
      <c r="S308" t="n">
        <v>4</v>
      </c>
      <c r="T308" t="n">
        <v>4</v>
      </c>
      <c r="U308" t="inlineStr">
        <is>
          <t>1993-11-29</t>
        </is>
      </c>
      <c r="V308" t="inlineStr">
        <is>
          <t>1993-11-29</t>
        </is>
      </c>
      <c r="W308" t="inlineStr">
        <is>
          <t>1993-05-17</t>
        </is>
      </c>
      <c r="X308" t="inlineStr">
        <is>
          <t>1993-05-17</t>
        </is>
      </c>
      <c r="Y308" t="n">
        <v>325</v>
      </c>
      <c r="Z308" t="n">
        <v>316</v>
      </c>
      <c r="AA308" t="n">
        <v>328</v>
      </c>
      <c r="AB308" t="n">
        <v>4</v>
      </c>
      <c r="AC308" t="n">
        <v>4</v>
      </c>
      <c r="AD308" t="n">
        <v>6</v>
      </c>
      <c r="AE308" t="n">
        <v>6</v>
      </c>
      <c r="AF308" t="n">
        <v>1</v>
      </c>
      <c r="AG308" t="n">
        <v>1</v>
      </c>
      <c r="AH308" t="n">
        <v>0</v>
      </c>
      <c r="AI308" t="n">
        <v>0</v>
      </c>
      <c r="AJ308" t="n">
        <v>3</v>
      </c>
      <c r="AK308" t="n">
        <v>3</v>
      </c>
      <c r="AL308" t="n">
        <v>2</v>
      </c>
      <c r="AM308" t="n">
        <v>2</v>
      </c>
      <c r="AN308" t="n">
        <v>0</v>
      </c>
      <c r="AO308" t="n">
        <v>0</v>
      </c>
      <c r="AP308" t="inlineStr">
        <is>
          <t>No</t>
        </is>
      </c>
      <c r="AQ308" t="inlineStr">
        <is>
          <t>Yes</t>
        </is>
      </c>
      <c r="AR308">
        <f>HYPERLINK("http://catalog.hathitrust.org/Record/008510008","HathiTrust Record")</f>
        <v/>
      </c>
      <c r="AS308">
        <f>HYPERLINK("https://creighton-primo.hosted.exlibrisgroup.com/primo-explore/search?tab=default_tab&amp;search_scope=EVERYTHING&amp;vid=01CRU&amp;lang=en_US&amp;offset=0&amp;query=any,contains,991004645239702656","Catalog Record")</f>
        <v/>
      </c>
      <c r="AT308">
        <f>HYPERLINK("http://www.worldcat.org/oclc/4491058","WorldCat Record")</f>
        <v/>
      </c>
      <c r="AU308" t="inlineStr">
        <is>
          <t>14756380:eng</t>
        </is>
      </c>
      <c r="AV308" t="inlineStr">
        <is>
          <t>4491058</t>
        </is>
      </c>
      <c r="AW308" t="inlineStr">
        <is>
          <t>991004645239702656</t>
        </is>
      </c>
      <c r="AX308" t="inlineStr">
        <is>
          <t>991004645239702656</t>
        </is>
      </c>
      <c r="AY308" t="inlineStr">
        <is>
          <t>2263994150002656</t>
        </is>
      </c>
      <c r="AZ308" t="inlineStr">
        <is>
          <t>BOOK</t>
        </is>
      </c>
      <c r="BB308" t="inlineStr">
        <is>
          <t>9780150037347</t>
        </is>
      </c>
      <c r="BC308" t="inlineStr">
        <is>
          <t>32285001658615</t>
        </is>
      </c>
      <c r="BD308" t="inlineStr">
        <is>
          <t>893712849</t>
        </is>
      </c>
    </row>
    <row r="309">
      <c r="A309" t="inlineStr">
        <is>
          <t>No</t>
        </is>
      </c>
      <c r="B309" t="inlineStr">
        <is>
          <t>NA7710 .C6713 1978</t>
        </is>
      </c>
      <c r="C309" t="inlineStr">
        <is>
          <t>0                      NA 7710000C  6713        1978</t>
        </is>
      </c>
      <c r="D309" t="inlineStr">
        <is>
          <t>Shrines of power / Flavio Conti ; translated by Patrick Creagh.</t>
        </is>
      </c>
      <c r="F309" t="inlineStr">
        <is>
          <t>No</t>
        </is>
      </c>
      <c r="G309" t="inlineStr">
        <is>
          <t>1</t>
        </is>
      </c>
      <c r="H309" t="inlineStr">
        <is>
          <t>No</t>
        </is>
      </c>
      <c r="I309" t="inlineStr">
        <is>
          <t>No</t>
        </is>
      </c>
      <c r="J309" t="inlineStr">
        <is>
          <t>0</t>
        </is>
      </c>
      <c r="K309" t="inlineStr">
        <is>
          <t>Conti, Flavio, 1943-</t>
        </is>
      </c>
      <c r="L309" t="inlineStr">
        <is>
          <t>Boston : HBJ Press, c1978.</t>
        </is>
      </c>
      <c r="M309" t="inlineStr">
        <is>
          <t>1978</t>
        </is>
      </c>
      <c r="O309" t="inlineStr">
        <is>
          <t>eng</t>
        </is>
      </c>
      <c r="P309" t="inlineStr">
        <is>
          <t>mau</t>
        </is>
      </c>
      <c r="Q309" t="inlineStr">
        <is>
          <t>United States. Congress. House. House Information Systems. The grand tour</t>
        </is>
      </c>
      <c r="R309" t="inlineStr">
        <is>
          <t xml:space="preserve">NA </t>
        </is>
      </c>
      <c r="S309" t="n">
        <v>2</v>
      </c>
      <c r="T309" t="n">
        <v>2</v>
      </c>
      <c r="U309" t="inlineStr">
        <is>
          <t>1993-11-29</t>
        </is>
      </c>
      <c r="V309" t="inlineStr">
        <is>
          <t>1993-11-29</t>
        </is>
      </c>
      <c r="W309" t="inlineStr">
        <is>
          <t>1993-04-07</t>
        </is>
      </c>
      <c r="X309" t="inlineStr">
        <is>
          <t>1993-04-07</t>
        </is>
      </c>
      <c r="Y309" t="n">
        <v>509</v>
      </c>
      <c r="Z309" t="n">
        <v>499</v>
      </c>
      <c r="AA309" t="n">
        <v>511</v>
      </c>
      <c r="AB309" t="n">
        <v>5</v>
      </c>
      <c r="AC309" t="n">
        <v>5</v>
      </c>
      <c r="AD309" t="n">
        <v>17</v>
      </c>
      <c r="AE309" t="n">
        <v>17</v>
      </c>
      <c r="AF309" t="n">
        <v>7</v>
      </c>
      <c r="AG309" t="n">
        <v>7</v>
      </c>
      <c r="AH309" t="n">
        <v>2</v>
      </c>
      <c r="AI309" t="n">
        <v>2</v>
      </c>
      <c r="AJ309" t="n">
        <v>10</v>
      </c>
      <c r="AK309" t="n">
        <v>10</v>
      </c>
      <c r="AL309" t="n">
        <v>2</v>
      </c>
      <c r="AM309" t="n">
        <v>2</v>
      </c>
      <c r="AN309" t="n">
        <v>0</v>
      </c>
      <c r="AO309" t="n">
        <v>0</v>
      </c>
      <c r="AP309" t="inlineStr">
        <is>
          <t>No</t>
        </is>
      </c>
      <c r="AQ309" t="inlineStr">
        <is>
          <t>Yes</t>
        </is>
      </c>
      <c r="AR309">
        <f>HYPERLINK("http://catalog.hathitrust.org/Record/102005534","HathiTrust Record")</f>
        <v/>
      </c>
      <c r="AS309">
        <f>HYPERLINK("https://creighton-primo.hosted.exlibrisgroup.com/primo-explore/search?tab=default_tab&amp;search_scope=EVERYTHING&amp;vid=01CRU&amp;lang=en_US&amp;offset=0&amp;query=any,contains,991004451499702656","Catalog Record")</f>
        <v/>
      </c>
      <c r="AT309">
        <f>HYPERLINK("http://www.worldcat.org/oclc/3516154","WorldCat Record")</f>
        <v/>
      </c>
      <c r="AU309" t="inlineStr">
        <is>
          <t>253668495:eng</t>
        </is>
      </c>
      <c r="AV309" t="inlineStr">
        <is>
          <t>3516154</t>
        </is>
      </c>
      <c r="AW309" t="inlineStr">
        <is>
          <t>991004451499702656</t>
        </is>
      </c>
      <c r="AX309" t="inlineStr">
        <is>
          <t>991004451499702656</t>
        </is>
      </c>
      <c r="AY309" t="inlineStr">
        <is>
          <t>2272259730002656</t>
        </is>
      </c>
      <c r="AZ309" t="inlineStr">
        <is>
          <t>BOOK</t>
        </is>
      </c>
      <c r="BB309" t="inlineStr">
        <is>
          <t>9780150037255</t>
        </is>
      </c>
      <c r="BC309" t="inlineStr">
        <is>
          <t>32285001603942</t>
        </is>
      </c>
      <c r="BD309" t="inlineStr">
        <is>
          <t>893446217</t>
        </is>
      </c>
    </row>
    <row r="310">
      <c r="A310" t="inlineStr">
        <is>
          <t>No</t>
        </is>
      </c>
      <c r="B310" t="inlineStr">
        <is>
          <t>NA7710 .S5 1970a</t>
        </is>
      </c>
      <c r="C310" t="inlineStr">
        <is>
          <t>0                      NA 7710000S  5           1970a</t>
        </is>
      </c>
      <c r="D310" t="inlineStr">
        <is>
          <t>Great houses of Europe / edited by Sacheverell Sitwell; photographs by Edwin Smith.</t>
        </is>
      </c>
      <c r="F310" t="inlineStr">
        <is>
          <t>No</t>
        </is>
      </c>
      <c r="G310" t="inlineStr">
        <is>
          <t>1</t>
        </is>
      </c>
      <c r="H310" t="inlineStr">
        <is>
          <t>No</t>
        </is>
      </c>
      <c r="I310" t="inlineStr">
        <is>
          <t>No</t>
        </is>
      </c>
      <c r="J310" t="inlineStr">
        <is>
          <t>0</t>
        </is>
      </c>
      <c r="K310" t="inlineStr">
        <is>
          <t>Sitwell, Sacheverell, 1897-1988.</t>
        </is>
      </c>
      <c r="L310" t="inlineStr">
        <is>
          <t>London ; New York : Spring Books, 1970.</t>
        </is>
      </c>
      <c r="M310" t="inlineStr">
        <is>
          <t>1970</t>
        </is>
      </c>
      <c r="O310" t="inlineStr">
        <is>
          <t>eng</t>
        </is>
      </c>
      <c r="P310" t="inlineStr">
        <is>
          <t>enk</t>
        </is>
      </c>
      <c r="R310" t="inlineStr">
        <is>
          <t xml:space="preserve">NA </t>
        </is>
      </c>
      <c r="S310" t="n">
        <v>7</v>
      </c>
      <c r="T310" t="n">
        <v>7</v>
      </c>
      <c r="U310" t="inlineStr">
        <is>
          <t>1997-01-02</t>
        </is>
      </c>
      <c r="V310" t="inlineStr">
        <is>
          <t>1997-01-02</t>
        </is>
      </c>
      <c r="W310" t="inlineStr">
        <is>
          <t>1994-01-12</t>
        </is>
      </c>
      <c r="X310" t="inlineStr">
        <is>
          <t>1994-01-12</t>
        </is>
      </c>
      <c r="Y310" t="n">
        <v>250</v>
      </c>
      <c r="Z310" t="n">
        <v>204</v>
      </c>
      <c r="AA310" t="n">
        <v>747</v>
      </c>
      <c r="AB310" t="n">
        <v>1</v>
      </c>
      <c r="AC310" t="n">
        <v>3</v>
      </c>
      <c r="AD310" t="n">
        <v>6</v>
      </c>
      <c r="AE310" t="n">
        <v>21</v>
      </c>
      <c r="AF310" t="n">
        <v>4</v>
      </c>
      <c r="AG310" t="n">
        <v>10</v>
      </c>
      <c r="AH310" t="n">
        <v>1</v>
      </c>
      <c r="AI310" t="n">
        <v>5</v>
      </c>
      <c r="AJ310" t="n">
        <v>3</v>
      </c>
      <c r="AK310" t="n">
        <v>11</v>
      </c>
      <c r="AL310" t="n">
        <v>0</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HYPERLINK("https://creighton-primo.hosted.exlibrisgroup.com/primo-explore/search?tab=default_tab&amp;search_scope=EVERYTHING&amp;vid=01CRU&amp;lang=en_US&amp;offset=0&amp;query=any,contains,991001949819702656","Catalog Record")</f>
        <v/>
      </c>
      <c r="AT310">
        <f>HYPERLINK("http://www.worldcat.org/oclc/251559","WorldCat Record")</f>
        <v/>
      </c>
      <c r="AU310" t="inlineStr">
        <is>
          <t>48253033:eng</t>
        </is>
      </c>
      <c r="AV310" t="inlineStr">
        <is>
          <t>251559</t>
        </is>
      </c>
      <c r="AW310" t="inlineStr">
        <is>
          <t>991001949819702656</t>
        </is>
      </c>
      <c r="AX310" t="inlineStr">
        <is>
          <t>991001949819702656</t>
        </is>
      </c>
      <c r="AY310" t="inlineStr">
        <is>
          <t>2268779240002656</t>
        </is>
      </c>
      <c r="AZ310" t="inlineStr">
        <is>
          <t>BOOK</t>
        </is>
      </c>
      <c r="BB310" t="inlineStr">
        <is>
          <t>9780600338437</t>
        </is>
      </c>
      <c r="BC310" t="inlineStr">
        <is>
          <t>32285001829539</t>
        </is>
      </c>
      <c r="BD310" t="inlineStr">
        <is>
          <t>893872923</t>
        </is>
      </c>
    </row>
    <row r="311">
      <c r="A311" t="inlineStr">
        <is>
          <t>No</t>
        </is>
      </c>
      <c r="B311" t="inlineStr">
        <is>
          <t>NA7745 .R4 1968</t>
        </is>
      </c>
      <c r="C311" t="inlineStr">
        <is>
          <t>0                      NA 7745000R  4           1968</t>
        </is>
      </c>
      <c r="D311" t="inlineStr">
        <is>
          <t>Norman castles in Britain [by] D. F. Renn.</t>
        </is>
      </c>
      <c r="F311" t="inlineStr">
        <is>
          <t>No</t>
        </is>
      </c>
      <c r="G311" t="inlineStr">
        <is>
          <t>1</t>
        </is>
      </c>
      <c r="H311" t="inlineStr">
        <is>
          <t>No</t>
        </is>
      </c>
      <c r="I311" t="inlineStr">
        <is>
          <t>No</t>
        </is>
      </c>
      <c r="J311" t="inlineStr">
        <is>
          <t>0</t>
        </is>
      </c>
      <c r="K311" t="inlineStr">
        <is>
          <t>Renn, D. F. (Derek Frank)</t>
        </is>
      </c>
      <c r="L311" t="inlineStr">
        <is>
          <t>London, Baker; New York, Humanities P., 1968.</t>
        </is>
      </c>
      <c r="M311" t="inlineStr">
        <is>
          <t>1968</t>
        </is>
      </c>
      <c r="O311" t="inlineStr">
        <is>
          <t>eng</t>
        </is>
      </c>
      <c r="P311" t="inlineStr">
        <is>
          <t>enk</t>
        </is>
      </c>
      <c r="R311" t="inlineStr">
        <is>
          <t xml:space="preserve">NA </t>
        </is>
      </c>
      <c r="S311" t="n">
        <v>2</v>
      </c>
      <c r="T311" t="n">
        <v>2</v>
      </c>
      <c r="U311" t="inlineStr">
        <is>
          <t>2001-02-13</t>
        </is>
      </c>
      <c r="V311" t="inlineStr">
        <is>
          <t>2001-02-13</t>
        </is>
      </c>
      <c r="W311" t="inlineStr">
        <is>
          <t>1997-07-02</t>
        </is>
      </c>
      <c r="X311" t="inlineStr">
        <is>
          <t>1997-07-02</t>
        </is>
      </c>
      <c r="Y311" t="n">
        <v>452</v>
      </c>
      <c r="Z311" t="n">
        <v>353</v>
      </c>
      <c r="AA311" t="n">
        <v>421</v>
      </c>
      <c r="AB311" t="n">
        <v>5</v>
      </c>
      <c r="AC311" t="n">
        <v>5</v>
      </c>
      <c r="AD311" t="n">
        <v>20</v>
      </c>
      <c r="AE311" t="n">
        <v>21</v>
      </c>
      <c r="AF311" t="n">
        <v>5</v>
      </c>
      <c r="AG311" t="n">
        <v>5</v>
      </c>
      <c r="AH311" t="n">
        <v>6</v>
      </c>
      <c r="AI311" t="n">
        <v>7</v>
      </c>
      <c r="AJ311" t="n">
        <v>9</v>
      </c>
      <c r="AK311" t="n">
        <v>10</v>
      </c>
      <c r="AL311" t="n">
        <v>4</v>
      </c>
      <c r="AM311" t="n">
        <v>4</v>
      </c>
      <c r="AN311" t="n">
        <v>0</v>
      </c>
      <c r="AO311" t="n">
        <v>0</v>
      </c>
      <c r="AP311" t="inlineStr">
        <is>
          <t>No</t>
        </is>
      </c>
      <c r="AQ311" t="inlineStr">
        <is>
          <t>Yes</t>
        </is>
      </c>
      <c r="AR311">
        <f>HYPERLINK("http://catalog.hathitrust.org/Record/000646214","HathiTrust Record")</f>
        <v/>
      </c>
      <c r="AS311">
        <f>HYPERLINK("https://creighton-primo.hosted.exlibrisgroup.com/primo-explore/search?tab=default_tab&amp;search_scope=EVERYTHING&amp;vid=01CRU&amp;lang=en_US&amp;offset=0&amp;query=any,contains,991002818609702656","Catalog Record")</f>
        <v/>
      </c>
      <c r="AT311">
        <f>HYPERLINK("http://www.worldcat.org/oclc/464304","WorldCat Record")</f>
        <v/>
      </c>
      <c r="AU311" t="inlineStr">
        <is>
          <t>1515170:eng</t>
        </is>
      </c>
      <c r="AV311" t="inlineStr">
        <is>
          <t>464304</t>
        </is>
      </c>
      <c r="AW311" t="inlineStr">
        <is>
          <t>991002818609702656</t>
        </is>
      </c>
      <c r="AX311" t="inlineStr">
        <is>
          <t>991002818609702656</t>
        </is>
      </c>
      <c r="AY311" t="inlineStr">
        <is>
          <t>2260480450002656</t>
        </is>
      </c>
      <c r="AZ311" t="inlineStr">
        <is>
          <t>BOOK</t>
        </is>
      </c>
      <c r="BC311" t="inlineStr">
        <is>
          <t>32285002863123</t>
        </is>
      </c>
      <c r="BD311" t="inlineStr">
        <is>
          <t>893685827</t>
        </is>
      </c>
    </row>
    <row r="312">
      <c r="A312" t="inlineStr">
        <is>
          <t>No</t>
        </is>
      </c>
      <c r="B312" t="inlineStr">
        <is>
          <t>NA7755 .H47</t>
        </is>
      </c>
      <c r="C312" t="inlineStr">
        <is>
          <t>0                      NA 7755000H  47</t>
        </is>
      </c>
      <c r="D312" t="inlineStr">
        <is>
          <t>Pythagorean palaces : magic and architecture in the Italian Renaissance / G. L. Hersey.</t>
        </is>
      </c>
      <c r="F312" t="inlineStr">
        <is>
          <t>No</t>
        </is>
      </c>
      <c r="G312" t="inlineStr">
        <is>
          <t>1</t>
        </is>
      </c>
      <c r="H312" t="inlineStr">
        <is>
          <t>No</t>
        </is>
      </c>
      <c r="I312" t="inlineStr">
        <is>
          <t>No</t>
        </is>
      </c>
      <c r="J312" t="inlineStr">
        <is>
          <t>0</t>
        </is>
      </c>
      <c r="K312" t="inlineStr">
        <is>
          <t>Hersey, George L.</t>
        </is>
      </c>
      <c r="L312" t="inlineStr">
        <is>
          <t>Ithaca : Cornell University Press, c1976, 1980 printing.</t>
        </is>
      </c>
      <c r="M312" t="inlineStr">
        <is>
          <t>1976</t>
        </is>
      </c>
      <c r="O312" t="inlineStr">
        <is>
          <t>eng</t>
        </is>
      </c>
      <c r="P312" t="inlineStr">
        <is>
          <t>nyu</t>
        </is>
      </c>
      <c r="R312" t="inlineStr">
        <is>
          <t xml:space="preserve">NA </t>
        </is>
      </c>
      <c r="S312" t="n">
        <v>3</v>
      </c>
      <c r="T312" t="n">
        <v>3</v>
      </c>
      <c r="U312" t="inlineStr">
        <is>
          <t>2006-04-11</t>
        </is>
      </c>
      <c r="V312" t="inlineStr">
        <is>
          <t>2006-04-11</t>
        </is>
      </c>
      <c r="W312" t="inlineStr">
        <is>
          <t>1993-05-17</t>
        </is>
      </c>
      <c r="X312" t="inlineStr">
        <is>
          <t>1993-05-17</t>
        </is>
      </c>
      <c r="Y312" t="n">
        <v>503</v>
      </c>
      <c r="Z312" t="n">
        <v>378</v>
      </c>
      <c r="AA312" t="n">
        <v>384</v>
      </c>
      <c r="AB312" t="n">
        <v>4</v>
      </c>
      <c r="AC312" t="n">
        <v>4</v>
      </c>
      <c r="AD312" t="n">
        <v>17</v>
      </c>
      <c r="AE312" t="n">
        <v>17</v>
      </c>
      <c r="AF312" t="n">
        <v>7</v>
      </c>
      <c r="AG312" t="n">
        <v>7</v>
      </c>
      <c r="AH312" t="n">
        <v>6</v>
      </c>
      <c r="AI312" t="n">
        <v>6</v>
      </c>
      <c r="AJ312" t="n">
        <v>8</v>
      </c>
      <c r="AK312" t="n">
        <v>8</v>
      </c>
      <c r="AL312" t="n">
        <v>2</v>
      </c>
      <c r="AM312" t="n">
        <v>2</v>
      </c>
      <c r="AN312" t="n">
        <v>0</v>
      </c>
      <c r="AO312" t="n">
        <v>0</v>
      </c>
      <c r="AP312" t="inlineStr">
        <is>
          <t>No</t>
        </is>
      </c>
      <c r="AQ312" t="inlineStr">
        <is>
          <t>Yes</t>
        </is>
      </c>
      <c r="AR312">
        <f>HYPERLINK("http://catalog.hathitrust.org/Record/000738744","HathiTrust Record")</f>
        <v/>
      </c>
      <c r="AS312">
        <f>HYPERLINK("https://creighton-primo.hosted.exlibrisgroup.com/primo-explore/search?tab=default_tab&amp;search_scope=EVERYTHING&amp;vid=01CRU&amp;lang=en_US&amp;offset=0&amp;query=any,contains,991004083119702656","Catalog Record")</f>
        <v/>
      </c>
      <c r="AT312">
        <f>HYPERLINK("http://www.worldcat.org/oclc/2331268","WorldCat Record")</f>
        <v/>
      </c>
      <c r="AU312" t="inlineStr">
        <is>
          <t>198370462:eng</t>
        </is>
      </c>
      <c r="AV312" t="inlineStr">
        <is>
          <t>2331268</t>
        </is>
      </c>
      <c r="AW312" t="inlineStr">
        <is>
          <t>991004083119702656</t>
        </is>
      </c>
      <c r="AX312" t="inlineStr">
        <is>
          <t>991004083119702656</t>
        </is>
      </c>
      <c r="AY312" t="inlineStr">
        <is>
          <t>2263568350002656</t>
        </is>
      </c>
      <c r="AZ312" t="inlineStr">
        <is>
          <t>BOOK</t>
        </is>
      </c>
      <c r="BB312" t="inlineStr">
        <is>
          <t>9780801409981</t>
        </is>
      </c>
      <c r="BC312" t="inlineStr">
        <is>
          <t>32285001658623</t>
        </is>
      </c>
      <c r="BD312" t="inlineStr">
        <is>
          <t>893411101</t>
        </is>
      </c>
    </row>
    <row r="313">
      <c r="A313" t="inlineStr">
        <is>
          <t>No</t>
        </is>
      </c>
      <c r="B313" t="inlineStr">
        <is>
          <t>NA8240 .R5 1971</t>
        </is>
      </c>
      <c r="C313" t="inlineStr">
        <is>
          <t>0                      NA 8240000R  5           1971</t>
        </is>
      </c>
      <c r="D313" t="inlineStr">
        <is>
          <t>Roman granaries and store buildings / Geoffrey Rickman.</t>
        </is>
      </c>
      <c r="F313" t="inlineStr">
        <is>
          <t>No</t>
        </is>
      </c>
      <c r="G313" t="inlineStr">
        <is>
          <t>1</t>
        </is>
      </c>
      <c r="H313" t="inlineStr">
        <is>
          <t>No</t>
        </is>
      </c>
      <c r="I313" t="inlineStr">
        <is>
          <t>No</t>
        </is>
      </c>
      <c r="J313" t="inlineStr">
        <is>
          <t>0</t>
        </is>
      </c>
      <c r="K313" t="inlineStr">
        <is>
          <t>Rickman, Geoffrey.</t>
        </is>
      </c>
      <c r="L313" t="inlineStr">
        <is>
          <t>Cambridge, [Eng.] : University Press, 1971.</t>
        </is>
      </c>
      <c r="M313" t="inlineStr">
        <is>
          <t>1971</t>
        </is>
      </c>
      <c r="O313" t="inlineStr">
        <is>
          <t>eng</t>
        </is>
      </c>
      <c r="P313" t="inlineStr">
        <is>
          <t>enk</t>
        </is>
      </c>
      <c r="R313" t="inlineStr">
        <is>
          <t xml:space="preserve">NA </t>
        </is>
      </c>
      <c r="S313" t="n">
        <v>1</v>
      </c>
      <c r="T313" t="n">
        <v>1</v>
      </c>
      <c r="U313" t="inlineStr">
        <is>
          <t>2009-04-06</t>
        </is>
      </c>
      <c r="V313" t="inlineStr">
        <is>
          <t>2009-04-06</t>
        </is>
      </c>
      <c r="W313" t="inlineStr">
        <is>
          <t>2009-04-06</t>
        </is>
      </c>
      <c r="X313" t="inlineStr">
        <is>
          <t>2009-04-06</t>
        </is>
      </c>
      <c r="Y313" t="n">
        <v>368</v>
      </c>
      <c r="Z313" t="n">
        <v>252</v>
      </c>
      <c r="AA313" t="n">
        <v>261</v>
      </c>
      <c r="AB313" t="n">
        <v>3</v>
      </c>
      <c r="AC313" t="n">
        <v>3</v>
      </c>
      <c r="AD313" t="n">
        <v>14</v>
      </c>
      <c r="AE313" t="n">
        <v>14</v>
      </c>
      <c r="AF313" t="n">
        <v>4</v>
      </c>
      <c r="AG313" t="n">
        <v>4</v>
      </c>
      <c r="AH313" t="n">
        <v>3</v>
      </c>
      <c r="AI313" t="n">
        <v>3</v>
      </c>
      <c r="AJ313" t="n">
        <v>8</v>
      </c>
      <c r="AK313" t="n">
        <v>8</v>
      </c>
      <c r="AL313" t="n">
        <v>2</v>
      </c>
      <c r="AM313" t="n">
        <v>2</v>
      </c>
      <c r="AN313" t="n">
        <v>0</v>
      </c>
      <c r="AO313" t="n">
        <v>0</v>
      </c>
      <c r="AP313" t="inlineStr">
        <is>
          <t>No</t>
        </is>
      </c>
      <c r="AQ313" t="inlineStr">
        <is>
          <t>Yes</t>
        </is>
      </c>
      <c r="AR313">
        <f>HYPERLINK("http://catalog.hathitrust.org/Record/000647772","HathiTrust Record")</f>
        <v/>
      </c>
      <c r="AS313">
        <f>HYPERLINK("https://creighton-primo.hosted.exlibrisgroup.com/primo-explore/search?tab=default_tab&amp;search_scope=EVERYTHING&amp;vid=01CRU&amp;lang=en_US&amp;offset=0&amp;query=any,contains,991005297349702656","Catalog Record")</f>
        <v/>
      </c>
      <c r="AT313">
        <f>HYPERLINK("http://www.worldcat.org/oclc/135760","WorldCat Record")</f>
        <v/>
      </c>
      <c r="AU313" t="inlineStr">
        <is>
          <t>503010:eng</t>
        </is>
      </c>
      <c r="AV313" t="inlineStr">
        <is>
          <t>135760</t>
        </is>
      </c>
      <c r="AW313" t="inlineStr">
        <is>
          <t>991005297349702656</t>
        </is>
      </c>
      <c r="AX313" t="inlineStr">
        <is>
          <t>991005297349702656</t>
        </is>
      </c>
      <c r="AY313" t="inlineStr">
        <is>
          <t>2263340320002656</t>
        </is>
      </c>
      <c r="AZ313" t="inlineStr">
        <is>
          <t>BOOK</t>
        </is>
      </c>
      <c r="BB313" t="inlineStr">
        <is>
          <t>9780521077248</t>
        </is>
      </c>
      <c r="BC313" t="inlineStr">
        <is>
          <t>32285005513493</t>
        </is>
      </c>
      <c r="BD313" t="inlineStr">
        <is>
          <t>893802085</t>
        </is>
      </c>
    </row>
    <row r="314">
      <c r="A314" t="inlineStr">
        <is>
          <t>No</t>
        </is>
      </c>
      <c r="B314" t="inlineStr">
        <is>
          <t>NA9031 .D2513</t>
        </is>
      </c>
      <c r="C314" t="inlineStr">
        <is>
          <t>0                      NA 9031000D  2513</t>
        </is>
      </c>
      <c r="D314" t="inlineStr">
        <is>
          <t>Urban structures for the future. Translated by Gerald Onn.</t>
        </is>
      </c>
      <c r="F314" t="inlineStr">
        <is>
          <t>No</t>
        </is>
      </c>
      <c r="G314" t="inlineStr">
        <is>
          <t>1</t>
        </is>
      </c>
      <c r="H314" t="inlineStr">
        <is>
          <t>No</t>
        </is>
      </c>
      <c r="I314" t="inlineStr">
        <is>
          <t>No</t>
        </is>
      </c>
      <c r="J314" t="inlineStr">
        <is>
          <t>0</t>
        </is>
      </c>
      <c r="K314" t="inlineStr">
        <is>
          <t>Dahinden, Justus.</t>
        </is>
      </c>
      <c r="L314" t="inlineStr">
        <is>
          <t>New York, Praeger Publishers [1972]</t>
        </is>
      </c>
      <c r="M314" t="inlineStr">
        <is>
          <t>1972</t>
        </is>
      </c>
      <c r="O314" t="inlineStr">
        <is>
          <t>eng</t>
        </is>
      </c>
      <c r="P314" t="inlineStr">
        <is>
          <t>nyu</t>
        </is>
      </c>
      <c r="R314" t="inlineStr">
        <is>
          <t xml:space="preserve">NA </t>
        </is>
      </c>
      <c r="S314" t="n">
        <v>1</v>
      </c>
      <c r="T314" t="n">
        <v>1</v>
      </c>
      <c r="U314" t="inlineStr">
        <is>
          <t>2008-03-24</t>
        </is>
      </c>
      <c r="V314" t="inlineStr">
        <is>
          <t>2008-03-24</t>
        </is>
      </c>
      <c r="W314" t="inlineStr">
        <is>
          <t>1997-07-02</t>
        </is>
      </c>
      <c r="X314" t="inlineStr">
        <is>
          <t>1997-07-02</t>
        </is>
      </c>
      <c r="Y314" t="n">
        <v>563</v>
      </c>
      <c r="Z314" t="n">
        <v>494</v>
      </c>
      <c r="AA314" t="n">
        <v>512</v>
      </c>
      <c r="AB314" t="n">
        <v>5</v>
      </c>
      <c r="AC314" t="n">
        <v>5</v>
      </c>
      <c r="AD314" t="n">
        <v>25</v>
      </c>
      <c r="AE314" t="n">
        <v>25</v>
      </c>
      <c r="AF314" t="n">
        <v>11</v>
      </c>
      <c r="AG314" t="n">
        <v>11</v>
      </c>
      <c r="AH314" t="n">
        <v>4</v>
      </c>
      <c r="AI314" t="n">
        <v>4</v>
      </c>
      <c r="AJ314" t="n">
        <v>12</v>
      </c>
      <c r="AK314" t="n">
        <v>12</v>
      </c>
      <c r="AL314" t="n">
        <v>3</v>
      </c>
      <c r="AM314" t="n">
        <v>3</v>
      </c>
      <c r="AN314" t="n">
        <v>2</v>
      </c>
      <c r="AO314" t="n">
        <v>2</v>
      </c>
      <c r="AP314" t="inlineStr">
        <is>
          <t>No</t>
        </is>
      </c>
      <c r="AQ314" t="inlineStr">
        <is>
          <t>No</t>
        </is>
      </c>
      <c r="AS314">
        <f>HYPERLINK("https://creighton-primo.hosted.exlibrisgroup.com/primo-explore/search?tab=default_tab&amp;search_scope=EVERYTHING&amp;vid=01CRU&amp;lang=en_US&amp;offset=0&amp;query=any,contains,991002173589702656","Catalog Record")</f>
        <v/>
      </c>
      <c r="AT314">
        <f>HYPERLINK("http://www.worldcat.org/oclc/277663","WorldCat Record")</f>
        <v/>
      </c>
      <c r="AU314" t="inlineStr">
        <is>
          <t>1827628:eng</t>
        </is>
      </c>
      <c r="AV314" t="inlineStr">
        <is>
          <t>277663</t>
        </is>
      </c>
      <c r="AW314" t="inlineStr">
        <is>
          <t>991002173589702656</t>
        </is>
      </c>
      <c r="AX314" t="inlineStr">
        <is>
          <t>991002173589702656</t>
        </is>
      </c>
      <c r="AY314" t="inlineStr">
        <is>
          <t>2260181100002656</t>
        </is>
      </c>
      <c r="AZ314" t="inlineStr">
        <is>
          <t>BOOK</t>
        </is>
      </c>
      <c r="BC314" t="inlineStr">
        <is>
          <t>32285002863198</t>
        </is>
      </c>
      <c r="BD314" t="inlineStr">
        <is>
          <t>893697439</t>
        </is>
      </c>
    </row>
    <row r="315">
      <c r="A315" t="inlineStr">
        <is>
          <t>No</t>
        </is>
      </c>
      <c r="B315" t="inlineStr">
        <is>
          <t>NA9031 .S65</t>
        </is>
      </c>
      <c r="C315" t="inlineStr">
        <is>
          <t>0                      NA 9031000S  65</t>
        </is>
      </c>
      <c r="D315" t="inlineStr">
        <is>
          <t>Urban design : the architecture of towns and cities / written and illustrated by Paul D. Spreiregen.</t>
        </is>
      </c>
      <c r="F315" t="inlineStr">
        <is>
          <t>No</t>
        </is>
      </c>
      <c r="G315" t="inlineStr">
        <is>
          <t>1</t>
        </is>
      </c>
      <c r="H315" t="inlineStr">
        <is>
          <t>No</t>
        </is>
      </c>
      <c r="I315" t="inlineStr">
        <is>
          <t>No</t>
        </is>
      </c>
      <c r="J315" t="inlineStr">
        <is>
          <t>0</t>
        </is>
      </c>
      <c r="K315" t="inlineStr">
        <is>
          <t>Spreiregen, Paul D.</t>
        </is>
      </c>
      <c r="L315" t="inlineStr">
        <is>
          <t>New York, McGraw-Hill [1965]</t>
        </is>
      </c>
      <c r="M315" t="inlineStr">
        <is>
          <t>1965</t>
        </is>
      </c>
      <c r="O315" t="inlineStr">
        <is>
          <t>eng</t>
        </is>
      </c>
      <c r="P315" t="inlineStr">
        <is>
          <t>nyu</t>
        </is>
      </c>
      <c r="R315" t="inlineStr">
        <is>
          <t xml:space="preserve">NA </t>
        </is>
      </c>
      <c r="S315" t="n">
        <v>3</v>
      </c>
      <c r="T315" t="n">
        <v>3</v>
      </c>
      <c r="U315" t="inlineStr">
        <is>
          <t>1997-10-19</t>
        </is>
      </c>
      <c r="V315" t="inlineStr">
        <is>
          <t>1997-10-19</t>
        </is>
      </c>
      <c r="W315" t="inlineStr">
        <is>
          <t>1997-05-27</t>
        </is>
      </c>
      <c r="X315" t="inlineStr">
        <is>
          <t>1997-05-27</t>
        </is>
      </c>
      <c r="Y315" t="n">
        <v>977</v>
      </c>
      <c r="Z315" t="n">
        <v>798</v>
      </c>
      <c r="AA315" t="n">
        <v>817</v>
      </c>
      <c r="AB315" t="n">
        <v>5</v>
      </c>
      <c r="AC315" t="n">
        <v>5</v>
      </c>
      <c r="AD315" t="n">
        <v>29</v>
      </c>
      <c r="AE315" t="n">
        <v>29</v>
      </c>
      <c r="AF315" t="n">
        <v>10</v>
      </c>
      <c r="AG315" t="n">
        <v>10</v>
      </c>
      <c r="AH315" t="n">
        <v>4</v>
      </c>
      <c r="AI315" t="n">
        <v>4</v>
      </c>
      <c r="AJ315" t="n">
        <v>14</v>
      </c>
      <c r="AK315" t="n">
        <v>14</v>
      </c>
      <c r="AL315" t="n">
        <v>4</v>
      </c>
      <c r="AM315" t="n">
        <v>4</v>
      </c>
      <c r="AN315" t="n">
        <v>3</v>
      </c>
      <c r="AO315" t="n">
        <v>3</v>
      </c>
      <c r="AP315" t="inlineStr">
        <is>
          <t>No</t>
        </is>
      </c>
      <c r="AQ315" t="inlineStr">
        <is>
          <t>Yes</t>
        </is>
      </c>
      <c r="AR315">
        <f>HYPERLINK("http://catalog.hathitrust.org/Record/000340898","HathiTrust Record")</f>
        <v/>
      </c>
      <c r="AS315">
        <f>HYPERLINK("https://creighton-primo.hosted.exlibrisgroup.com/primo-explore/search?tab=default_tab&amp;search_scope=EVERYTHING&amp;vid=01CRU&amp;lang=en_US&amp;offset=0&amp;query=any,contains,991002196509702656","Catalog Record")</f>
        <v/>
      </c>
      <c r="AT315">
        <f>HYPERLINK("http://www.worldcat.org/oclc/283110","WorldCat Record")</f>
        <v/>
      </c>
      <c r="AU315" t="inlineStr">
        <is>
          <t>1439899:eng</t>
        </is>
      </c>
      <c r="AV315" t="inlineStr">
        <is>
          <t>283110</t>
        </is>
      </c>
      <c r="AW315" t="inlineStr">
        <is>
          <t>991002196509702656</t>
        </is>
      </c>
      <c r="AX315" t="inlineStr">
        <is>
          <t>991002196509702656</t>
        </is>
      </c>
      <c r="AY315" t="inlineStr">
        <is>
          <t>2265635480002656</t>
        </is>
      </c>
      <c r="AZ315" t="inlineStr">
        <is>
          <t>BOOK</t>
        </is>
      </c>
      <c r="BC315" t="inlineStr">
        <is>
          <t>32285002696606</t>
        </is>
      </c>
      <c r="BD315" t="inlineStr">
        <is>
          <t>893523307</t>
        </is>
      </c>
    </row>
    <row r="316">
      <c r="A316" t="inlineStr">
        <is>
          <t>No</t>
        </is>
      </c>
      <c r="B316" t="inlineStr">
        <is>
          <t>NA9050 .H85</t>
        </is>
      </c>
      <c r="C316" t="inlineStr">
        <is>
          <t>0                      NA 9050000H  85</t>
        </is>
      </c>
      <c r="D316" t="inlineStr">
        <is>
          <t>Will they ever finish Bruckner Boulevard? / by Ada Louise Huxtable. Pref. by Daniel P. Moynihan.</t>
        </is>
      </c>
      <c r="F316" t="inlineStr">
        <is>
          <t>No</t>
        </is>
      </c>
      <c r="G316" t="inlineStr">
        <is>
          <t>1</t>
        </is>
      </c>
      <c r="H316" t="inlineStr">
        <is>
          <t>No</t>
        </is>
      </c>
      <c r="I316" t="inlineStr">
        <is>
          <t>No</t>
        </is>
      </c>
      <c r="J316" t="inlineStr">
        <is>
          <t>0</t>
        </is>
      </c>
      <c r="K316" t="inlineStr">
        <is>
          <t>Huxtable, Ada Louise.</t>
        </is>
      </c>
      <c r="L316" t="inlineStr">
        <is>
          <t>[New York] : Macmillan, c1970, 1971 printing.</t>
        </is>
      </c>
      <c r="M316" t="inlineStr">
        <is>
          <t>1970</t>
        </is>
      </c>
      <c r="O316" t="inlineStr">
        <is>
          <t>eng</t>
        </is>
      </c>
      <c r="P316" t="inlineStr">
        <is>
          <t>nyu</t>
        </is>
      </c>
      <c r="R316" t="inlineStr">
        <is>
          <t xml:space="preserve">NA </t>
        </is>
      </c>
      <c r="S316" t="n">
        <v>2</v>
      </c>
      <c r="T316" t="n">
        <v>2</v>
      </c>
      <c r="U316" t="inlineStr">
        <is>
          <t>1996-04-13</t>
        </is>
      </c>
      <c r="V316" t="inlineStr">
        <is>
          <t>1996-04-13</t>
        </is>
      </c>
      <c r="W316" t="inlineStr">
        <is>
          <t>1993-05-12</t>
        </is>
      </c>
      <c r="X316" t="inlineStr">
        <is>
          <t>1993-05-12</t>
        </is>
      </c>
      <c r="Y316" t="n">
        <v>791</v>
      </c>
      <c r="Z316" t="n">
        <v>745</v>
      </c>
      <c r="AA316" t="n">
        <v>800</v>
      </c>
      <c r="AB316" t="n">
        <v>6</v>
      </c>
      <c r="AC316" t="n">
        <v>6</v>
      </c>
      <c r="AD316" t="n">
        <v>28</v>
      </c>
      <c r="AE316" t="n">
        <v>28</v>
      </c>
      <c r="AF316" t="n">
        <v>11</v>
      </c>
      <c r="AG316" t="n">
        <v>11</v>
      </c>
      <c r="AH316" t="n">
        <v>6</v>
      </c>
      <c r="AI316" t="n">
        <v>6</v>
      </c>
      <c r="AJ316" t="n">
        <v>11</v>
      </c>
      <c r="AK316" t="n">
        <v>11</v>
      </c>
      <c r="AL316" t="n">
        <v>4</v>
      </c>
      <c r="AM316" t="n">
        <v>4</v>
      </c>
      <c r="AN316" t="n">
        <v>1</v>
      </c>
      <c r="AO316" t="n">
        <v>1</v>
      </c>
      <c r="AP316" t="inlineStr">
        <is>
          <t>No</t>
        </is>
      </c>
      <c r="AQ316" t="inlineStr">
        <is>
          <t>Yes</t>
        </is>
      </c>
      <c r="AR316">
        <f>HYPERLINK("http://catalog.hathitrust.org/Record/000649259","HathiTrust Record")</f>
        <v/>
      </c>
      <c r="AS316">
        <f>HYPERLINK("https://creighton-primo.hosted.exlibrisgroup.com/primo-explore/search?tab=default_tab&amp;search_scope=EVERYTHING&amp;vid=01CRU&amp;lang=en_US&amp;offset=0&amp;query=any,contains,991000426649702656","Catalog Record")</f>
        <v/>
      </c>
      <c r="AT316">
        <f>HYPERLINK("http://www.worldcat.org/oclc/75307","WorldCat Record")</f>
        <v/>
      </c>
      <c r="AU316" t="inlineStr">
        <is>
          <t>1248049:eng</t>
        </is>
      </c>
      <c r="AV316" t="inlineStr">
        <is>
          <t>75307</t>
        </is>
      </c>
      <c r="AW316" t="inlineStr">
        <is>
          <t>991000426649702656</t>
        </is>
      </c>
      <c r="AX316" t="inlineStr">
        <is>
          <t>991000426649702656</t>
        </is>
      </c>
      <c r="AY316" t="inlineStr">
        <is>
          <t>2256050200002656</t>
        </is>
      </c>
      <c r="AZ316" t="inlineStr">
        <is>
          <t>BOOK</t>
        </is>
      </c>
      <c r="BC316" t="inlineStr">
        <is>
          <t>32285001653731</t>
        </is>
      </c>
      <c r="BD316" t="inlineStr">
        <is>
          <t>893515267</t>
        </is>
      </c>
    </row>
    <row r="317">
      <c r="A317" t="inlineStr">
        <is>
          <t>No</t>
        </is>
      </c>
      <c r="B317" t="inlineStr">
        <is>
          <t>NA9053.S6 D48 1996</t>
        </is>
      </c>
      <c r="C317" t="inlineStr">
        <is>
          <t>0                      NA 9053000S  6                  D  48          1996</t>
        </is>
      </c>
      <c r="D317" t="inlineStr">
        <is>
          <t>Evictions : art and spatial politics / Rosalyn Deutsche.</t>
        </is>
      </c>
      <c r="F317" t="inlineStr">
        <is>
          <t>No</t>
        </is>
      </c>
      <c r="G317" t="inlineStr">
        <is>
          <t>1</t>
        </is>
      </c>
      <c r="H317" t="inlineStr">
        <is>
          <t>No</t>
        </is>
      </c>
      <c r="I317" t="inlineStr">
        <is>
          <t>No</t>
        </is>
      </c>
      <c r="J317" t="inlineStr">
        <is>
          <t>0</t>
        </is>
      </c>
      <c r="K317" t="inlineStr">
        <is>
          <t>Deutsche, Rosalyn.</t>
        </is>
      </c>
      <c r="L317" t="inlineStr">
        <is>
          <t>Chicago, Ill. : Graham Foundation for Advanced Studies in the Fine Arts ; Cambridge, Mass. : MIT Press, c1996.</t>
        </is>
      </c>
      <c r="M317" t="inlineStr">
        <is>
          <t>1996</t>
        </is>
      </c>
      <c r="O317" t="inlineStr">
        <is>
          <t>eng</t>
        </is>
      </c>
      <c r="P317" t="inlineStr">
        <is>
          <t>ilu</t>
        </is>
      </c>
      <c r="Q317" t="inlineStr">
        <is>
          <t>Graham Foundation/MIT Press series in contemporary architectural discourse</t>
        </is>
      </c>
      <c r="R317" t="inlineStr">
        <is>
          <t xml:space="preserve">NA </t>
        </is>
      </c>
      <c r="S317" t="n">
        <v>1</v>
      </c>
      <c r="T317" t="n">
        <v>1</v>
      </c>
      <c r="U317" t="inlineStr">
        <is>
          <t>2007-11-17</t>
        </is>
      </c>
      <c r="V317" t="inlineStr">
        <is>
          <t>2007-11-17</t>
        </is>
      </c>
      <c r="W317" t="inlineStr">
        <is>
          <t>1997-10-03</t>
        </is>
      </c>
      <c r="X317" t="inlineStr">
        <is>
          <t>1997-10-03</t>
        </is>
      </c>
      <c r="Y317" t="n">
        <v>473</v>
      </c>
      <c r="Z317" t="n">
        <v>316</v>
      </c>
      <c r="AA317" t="n">
        <v>331</v>
      </c>
      <c r="AB317" t="n">
        <v>3</v>
      </c>
      <c r="AC317" t="n">
        <v>3</v>
      </c>
      <c r="AD317" t="n">
        <v>13</v>
      </c>
      <c r="AE317" t="n">
        <v>13</v>
      </c>
      <c r="AF317" t="n">
        <v>2</v>
      </c>
      <c r="AG317" t="n">
        <v>2</v>
      </c>
      <c r="AH317" t="n">
        <v>4</v>
      </c>
      <c r="AI317" t="n">
        <v>4</v>
      </c>
      <c r="AJ317" t="n">
        <v>6</v>
      </c>
      <c r="AK317" t="n">
        <v>6</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HYPERLINK("https://creighton-primo.hosted.exlibrisgroup.com/primo-explore/search?tab=default_tab&amp;search_scope=EVERYTHING&amp;vid=01CRU&amp;lang=en_US&amp;offset=0&amp;query=any,contains,991002648139702656","Catalog Record")</f>
        <v/>
      </c>
      <c r="AT317">
        <f>HYPERLINK("http://www.worldcat.org/oclc/34651431","WorldCat Record")</f>
        <v/>
      </c>
      <c r="AU317" t="inlineStr">
        <is>
          <t>807325908:eng</t>
        </is>
      </c>
      <c r="AV317" t="inlineStr">
        <is>
          <t>34651431</t>
        </is>
      </c>
      <c r="AW317" t="inlineStr">
        <is>
          <t>991002648139702656</t>
        </is>
      </c>
      <c r="AX317" t="inlineStr">
        <is>
          <t>991002648139702656</t>
        </is>
      </c>
      <c r="AY317" t="inlineStr">
        <is>
          <t>2262401800002656</t>
        </is>
      </c>
      <c r="AZ317" t="inlineStr">
        <is>
          <t>BOOK</t>
        </is>
      </c>
      <c r="BB317" t="inlineStr">
        <is>
          <t>9780262041584</t>
        </is>
      </c>
      <c r="BC317" t="inlineStr">
        <is>
          <t>32285003252599</t>
        </is>
      </c>
      <c r="BD317" t="inlineStr">
        <is>
          <t>893504639</t>
        </is>
      </c>
    </row>
    <row r="318">
      <c r="A318" t="inlineStr">
        <is>
          <t>No</t>
        </is>
      </c>
      <c r="B318" t="inlineStr">
        <is>
          <t>NA9053.S7 J23 1995</t>
        </is>
      </c>
      <c r="C318" t="inlineStr">
        <is>
          <t>0                      NA 9053000S  7                  J  23          1995</t>
        </is>
      </c>
      <c r="D318" t="inlineStr">
        <is>
          <t>Great streets / Allan B. Jacobs.</t>
        </is>
      </c>
      <c r="F318" t="inlineStr">
        <is>
          <t>No</t>
        </is>
      </c>
      <c r="G318" t="inlineStr">
        <is>
          <t>1</t>
        </is>
      </c>
      <c r="H318" t="inlineStr">
        <is>
          <t>No</t>
        </is>
      </c>
      <c r="I318" t="inlineStr">
        <is>
          <t>No</t>
        </is>
      </c>
      <c r="J318" t="inlineStr">
        <is>
          <t>0</t>
        </is>
      </c>
      <c r="K318" t="inlineStr">
        <is>
          <t>Jacobs, Allan B.</t>
        </is>
      </c>
      <c r="L318" t="inlineStr">
        <is>
          <t>Cambridge, Mass. : MIT Press, 1995</t>
        </is>
      </c>
      <c r="M318" t="inlineStr">
        <is>
          <t>1995</t>
        </is>
      </c>
      <c r="N318" t="inlineStr">
        <is>
          <t>1st MIT Press pbk. ed.</t>
        </is>
      </c>
      <c r="O318" t="inlineStr">
        <is>
          <t>eng</t>
        </is>
      </c>
      <c r="P318" t="inlineStr">
        <is>
          <t>mau</t>
        </is>
      </c>
      <c r="R318" t="inlineStr">
        <is>
          <t xml:space="preserve">NA </t>
        </is>
      </c>
      <c r="S318" t="n">
        <v>1</v>
      </c>
      <c r="T318" t="n">
        <v>1</v>
      </c>
      <c r="U318" t="inlineStr">
        <is>
          <t>2010-01-26</t>
        </is>
      </c>
      <c r="V318" t="inlineStr">
        <is>
          <t>2010-01-26</t>
        </is>
      </c>
      <c r="W318" t="inlineStr">
        <is>
          <t>2010-01-26</t>
        </is>
      </c>
      <c r="X318" t="inlineStr">
        <is>
          <t>2010-01-26</t>
        </is>
      </c>
      <c r="Y318" t="n">
        <v>200</v>
      </c>
      <c r="Z318" t="n">
        <v>129</v>
      </c>
      <c r="AA318" t="n">
        <v>514</v>
      </c>
      <c r="AB318" t="n">
        <v>3</v>
      </c>
      <c r="AC318" t="n">
        <v>3</v>
      </c>
      <c r="AD318" t="n">
        <v>7</v>
      </c>
      <c r="AE318" t="n">
        <v>17</v>
      </c>
      <c r="AF318" t="n">
        <v>0</v>
      </c>
      <c r="AG318" t="n">
        <v>3</v>
      </c>
      <c r="AH318" t="n">
        <v>2</v>
      </c>
      <c r="AI318" t="n">
        <v>4</v>
      </c>
      <c r="AJ318" t="n">
        <v>4</v>
      </c>
      <c r="AK318" t="n">
        <v>10</v>
      </c>
      <c r="AL318" t="n">
        <v>2</v>
      </c>
      <c r="AM318" t="n">
        <v>2</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HYPERLINK("https://creighton-primo.hosted.exlibrisgroup.com/primo-explore/search?tab=default_tab&amp;search_scope=EVERYTHING&amp;vid=01CRU&amp;lang=en_US&amp;offset=0&amp;query=any,contains,991005350759702656","Catalog Record")</f>
        <v/>
      </c>
      <c r="AT318">
        <f>HYPERLINK("http://www.worldcat.org/oclc/37504417","WorldCat Record")</f>
        <v/>
      </c>
      <c r="AU318" t="inlineStr">
        <is>
          <t>329301:eng</t>
        </is>
      </c>
      <c r="AV318" t="inlineStr">
        <is>
          <t>37504417</t>
        </is>
      </c>
      <c r="AW318" t="inlineStr">
        <is>
          <t>991005350759702656</t>
        </is>
      </c>
      <c r="AX318" t="inlineStr">
        <is>
          <t>991005350759702656</t>
        </is>
      </c>
      <c r="AY318" t="inlineStr">
        <is>
          <t>2266339120002656</t>
        </is>
      </c>
      <c r="AZ318" t="inlineStr">
        <is>
          <t>BOOK</t>
        </is>
      </c>
      <c r="BB318" t="inlineStr">
        <is>
          <t>9780262600231</t>
        </is>
      </c>
      <c r="BC318" t="inlineStr">
        <is>
          <t>32285005559421</t>
        </is>
      </c>
      <c r="BD318" t="inlineStr">
        <is>
          <t>893870925</t>
        </is>
      </c>
    </row>
    <row r="319">
      <c r="A319" t="inlineStr">
        <is>
          <t>No</t>
        </is>
      </c>
      <c r="B319" t="inlineStr">
        <is>
          <t>NA9095 .E45 1996</t>
        </is>
      </c>
      <c r="C319" t="inlineStr">
        <is>
          <t>0                      NA 9095000E  45          1996</t>
        </is>
      </c>
      <c r="D319" t="inlineStr">
        <is>
          <t>Postmodern urbanism / Nan Ellin.</t>
        </is>
      </c>
      <c r="F319" t="inlineStr">
        <is>
          <t>No</t>
        </is>
      </c>
      <c r="G319" t="inlineStr">
        <is>
          <t>1</t>
        </is>
      </c>
      <c r="H319" t="inlineStr">
        <is>
          <t>No</t>
        </is>
      </c>
      <c r="I319" t="inlineStr">
        <is>
          <t>No</t>
        </is>
      </c>
      <c r="J319" t="inlineStr">
        <is>
          <t>0</t>
        </is>
      </c>
      <c r="K319" t="inlineStr">
        <is>
          <t>Ellin, Nan.</t>
        </is>
      </c>
      <c r="L319" t="inlineStr">
        <is>
          <t>Cambridge, Mass. : Blackwell, 1996.</t>
        </is>
      </c>
      <c r="M319" t="inlineStr">
        <is>
          <t>1996</t>
        </is>
      </c>
      <c r="O319" t="inlineStr">
        <is>
          <t>eng</t>
        </is>
      </c>
      <c r="P319" t="inlineStr">
        <is>
          <t>mau</t>
        </is>
      </c>
      <c r="R319" t="inlineStr">
        <is>
          <t xml:space="preserve">NA </t>
        </is>
      </c>
      <c r="S319" t="n">
        <v>5</v>
      </c>
      <c r="T319" t="n">
        <v>5</v>
      </c>
      <c r="U319" t="inlineStr">
        <is>
          <t>2009-03-24</t>
        </is>
      </c>
      <c r="V319" t="inlineStr">
        <is>
          <t>2009-03-24</t>
        </is>
      </c>
      <c r="W319" t="inlineStr">
        <is>
          <t>1996-04-16</t>
        </is>
      </c>
      <c r="X319" t="inlineStr">
        <is>
          <t>1996-04-16</t>
        </is>
      </c>
      <c r="Y319" t="n">
        <v>333</v>
      </c>
      <c r="Z319" t="n">
        <v>200</v>
      </c>
      <c r="AA319" t="n">
        <v>636</v>
      </c>
      <c r="AB319" t="n">
        <v>2</v>
      </c>
      <c r="AC319" t="n">
        <v>6</v>
      </c>
      <c r="AD319" t="n">
        <v>10</v>
      </c>
      <c r="AE319" t="n">
        <v>31</v>
      </c>
      <c r="AF319" t="n">
        <v>3</v>
      </c>
      <c r="AG319" t="n">
        <v>10</v>
      </c>
      <c r="AH319" t="n">
        <v>3</v>
      </c>
      <c r="AI319" t="n">
        <v>7</v>
      </c>
      <c r="AJ319" t="n">
        <v>5</v>
      </c>
      <c r="AK319" t="n">
        <v>13</v>
      </c>
      <c r="AL319" t="n">
        <v>1</v>
      </c>
      <c r="AM319" t="n">
        <v>5</v>
      </c>
      <c r="AN319" t="n">
        <v>0</v>
      </c>
      <c r="AO319" t="n">
        <v>1</v>
      </c>
      <c r="AP319" t="inlineStr">
        <is>
          <t>No</t>
        </is>
      </c>
      <c r="AQ319" t="inlineStr">
        <is>
          <t>No</t>
        </is>
      </c>
      <c r="AS319">
        <f>HYPERLINK("https://creighton-primo.hosted.exlibrisgroup.com/primo-explore/search?tab=default_tab&amp;search_scope=EVERYTHING&amp;vid=01CRU&amp;lang=en_US&amp;offset=0&amp;query=any,contains,991002468519702656","Catalog Record")</f>
        <v/>
      </c>
      <c r="AT319">
        <f>HYPERLINK("http://www.worldcat.org/oclc/32166222","WorldCat Record")</f>
        <v/>
      </c>
      <c r="AU319" t="inlineStr">
        <is>
          <t>4927806257:eng</t>
        </is>
      </c>
      <c r="AV319" t="inlineStr">
        <is>
          <t>32166222</t>
        </is>
      </c>
      <c r="AW319" t="inlineStr">
        <is>
          <t>991002468519702656</t>
        </is>
      </c>
      <c r="AX319" t="inlineStr">
        <is>
          <t>991002468519702656</t>
        </is>
      </c>
      <c r="AY319" t="inlineStr">
        <is>
          <t>2264307630002656</t>
        </is>
      </c>
      <c r="AZ319" t="inlineStr">
        <is>
          <t>BOOK</t>
        </is>
      </c>
      <c r="BB319" t="inlineStr">
        <is>
          <t>9781557863621</t>
        </is>
      </c>
      <c r="BC319" t="inlineStr">
        <is>
          <t>32285002153624</t>
        </is>
      </c>
      <c r="BD319" t="inlineStr">
        <is>
          <t>893262303</t>
        </is>
      </c>
    </row>
    <row r="320">
      <c r="A320" t="inlineStr">
        <is>
          <t>No</t>
        </is>
      </c>
      <c r="B320" t="inlineStr">
        <is>
          <t>NA9105 .R45 1965</t>
        </is>
      </c>
      <c r="C320" t="inlineStr">
        <is>
          <t>0                      NA 9105000R  45          1965</t>
        </is>
      </c>
      <c r="D320" t="inlineStr">
        <is>
          <t>The making of urban America : a history of city planning in the United States / by John W. Reps.</t>
        </is>
      </c>
      <c r="F320" t="inlineStr">
        <is>
          <t>No</t>
        </is>
      </c>
      <c r="G320" t="inlineStr">
        <is>
          <t>1</t>
        </is>
      </c>
      <c r="H320" t="inlineStr">
        <is>
          <t>No</t>
        </is>
      </c>
      <c r="I320" t="inlineStr">
        <is>
          <t>No</t>
        </is>
      </c>
      <c r="J320" t="inlineStr">
        <is>
          <t>0</t>
        </is>
      </c>
      <c r="K320" t="inlineStr">
        <is>
          <t>Reps, John William.</t>
        </is>
      </c>
      <c r="L320" t="inlineStr">
        <is>
          <t>Princeton, N.J. : Princeton University Press, 1965.</t>
        </is>
      </c>
      <c r="M320" t="inlineStr">
        <is>
          <t>1965</t>
        </is>
      </c>
      <c r="O320" t="inlineStr">
        <is>
          <t>eng</t>
        </is>
      </c>
      <c r="P320" t="inlineStr">
        <is>
          <t>nju</t>
        </is>
      </c>
      <c r="R320" t="inlineStr">
        <is>
          <t xml:space="preserve">NA </t>
        </is>
      </c>
      <c r="S320" t="n">
        <v>6</v>
      </c>
      <c r="T320" t="n">
        <v>6</v>
      </c>
      <c r="U320" t="inlineStr">
        <is>
          <t>2006-07-20</t>
        </is>
      </c>
      <c r="V320" t="inlineStr">
        <is>
          <t>2006-07-20</t>
        </is>
      </c>
      <c r="W320" t="inlineStr">
        <is>
          <t>1998-02-06</t>
        </is>
      </c>
      <c r="X320" t="inlineStr">
        <is>
          <t>1998-02-06</t>
        </is>
      </c>
      <c r="Y320" t="n">
        <v>1356</v>
      </c>
      <c r="Z320" t="n">
        <v>1174</v>
      </c>
      <c r="AA320" t="n">
        <v>1238</v>
      </c>
      <c r="AB320" t="n">
        <v>7</v>
      </c>
      <c r="AC320" t="n">
        <v>7</v>
      </c>
      <c r="AD320" t="n">
        <v>51</v>
      </c>
      <c r="AE320" t="n">
        <v>53</v>
      </c>
      <c r="AF320" t="n">
        <v>20</v>
      </c>
      <c r="AG320" t="n">
        <v>21</v>
      </c>
      <c r="AH320" t="n">
        <v>6</v>
      </c>
      <c r="AI320" t="n">
        <v>8</v>
      </c>
      <c r="AJ320" t="n">
        <v>21</v>
      </c>
      <c r="AK320" t="n">
        <v>21</v>
      </c>
      <c r="AL320" t="n">
        <v>6</v>
      </c>
      <c r="AM320" t="n">
        <v>6</v>
      </c>
      <c r="AN320" t="n">
        <v>7</v>
      </c>
      <c r="AO320" t="n">
        <v>7</v>
      </c>
      <c r="AP320" t="inlineStr">
        <is>
          <t>No</t>
        </is>
      </c>
      <c r="AQ320" t="inlineStr">
        <is>
          <t>No</t>
        </is>
      </c>
      <c r="AS320">
        <f>HYPERLINK("https://creighton-primo.hosted.exlibrisgroup.com/primo-explore/search?tab=default_tab&amp;search_scope=EVERYTHING&amp;vid=01CRU&amp;lang=en_US&amp;offset=0&amp;query=any,contains,991003560849702656","Catalog Record")</f>
        <v/>
      </c>
      <c r="AT320">
        <f>HYPERLINK("http://www.worldcat.org/oclc/1130801","WorldCat Record")</f>
        <v/>
      </c>
      <c r="AU320" t="inlineStr">
        <is>
          <t>364348975:eng</t>
        </is>
      </c>
      <c r="AV320" t="inlineStr">
        <is>
          <t>1130801</t>
        </is>
      </c>
      <c r="AW320" t="inlineStr">
        <is>
          <t>991003560849702656</t>
        </is>
      </c>
      <c r="AX320" t="inlineStr">
        <is>
          <t>991003560849702656</t>
        </is>
      </c>
      <c r="AY320" t="inlineStr">
        <is>
          <t>2262877730002656</t>
        </is>
      </c>
      <c r="AZ320" t="inlineStr">
        <is>
          <t>BOOK</t>
        </is>
      </c>
      <c r="BC320" t="inlineStr">
        <is>
          <t>32285003312906</t>
        </is>
      </c>
      <c r="BD320" t="inlineStr">
        <is>
          <t>893445725</t>
        </is>
      </c>
    </row>
    <row r="321">
      <c r="A321" t="inlineStr">
        <is>
          <t>No</t>
        </is>
      </c>
      <c r="B321" t="inlineStr">
        <is>
          <t>NA9127.W2 R4</t>
        </is>
      </c>
      <c r="C321" t="inlineStr">
        <is>
          <t>0                      NA 9127000W  2                  R  4</t>
        </is>
      </c>
      <c r="D321" t="inlineStr">
        <is>
          <t>Monumental Washington; the planning and development of the Capital center / by John W. Reps.</t>
        </is>
      </c>
      <c r="F321" t="inlineStr">
        <is>
          <t>No</t>
        </is>
      </c>
      <c r="G321" t="inlineStr">
        <is>
          <t>1</t>
        </is>
      </c>
      <c r="H321" t="inlineStr">
        <is>
          <t>No</t>
        </is>
      </c>
      <c r="I321" t="inlineStr">
        <is>
          <t>No</t>
        </is>
      </c>
      <c r="J321" t="inlineStr">
        <is>
          <t>0</t>
        </is>
      </c>
      <c r="K321" t="inlineStr">
        <is>
          <t>Reps, John William.</t>
        </is>
      </c>
      <c r="L321" t="inlineStr">
        <is>
          <t>Princeton, N.J. : Princeton University Press, 1967.</t>
        </is>
      </c>
      <c r="M321" t="inlineStr">
        <is>
          <t>1967</t>
        </is>
      </c>
      <c r="O321" t="inlineStr">
        <is>
          <t>eng</t>
        </is>
      </c>
      <c r="P321" t="inlineStr">
        <is>
          <t>nju</t>
        </is>
      </c>
      <c r="R321" t="inlineStr">
        <is>
          <t xml:space="preserve">NA </t>
        </is>
      </c>
      <c r="S321" t="n">
        <v>0</v>
      </c>
      <c r="T321" t="n">
        <v>0</v>
      </c>
      <c r="U321" t="inlineStr">
        <is>
          <t>2007-10-30</t>
        </is>
      </c>
      <c r="V321" t="inlineStr">
        <is>
          <t>2007-10-30</t>
        </is>
      </c>
      <c r="W321" t="inlineStr">
        <is>
          <t>1993-05-17</t>
        </is>
      </c>
      <c r="X321" t="inlineStr">
        <is>
          <t>1993-05-17</t>
        </is>
      </c>
      <c r="Y321" t="n">
        <v>759</v>
      </c>
      <c r="Z321" t="n">
        <v>658</v>
      </c>
      <c r="AA321" t="n">
        <v>667</v>
      </c>
      <c r="AB321" t="n">
        <v>4</v>
      </c>
      <c r="AC321" t="n">
        <v>4</v>
      </c>
      <c r="AD321" t="n">
        <v>33</v>
      </c>
      <c r="AE321" t="n">
        <v>33</v>
      </c>
      <c r="AF321" t="n">
        <v>10</v>
      </c>
      <c r="AG321" t="n">
        <v>10</v>
      </c>
      <c r="AH321" t="n">
        <v>11</v>
      </c>
      <c r="AI321" t="n">
        <v>11</v>
      </c>
      <c r="AJ321" t="n">
        <v>16</v>
      </c>
      <c r="AK321" t="n">
        <v>16</v>
      </c>
      <c r="AL321" t="n">
        <v>3</v>
      </c>
      <c r="AM321" t="n">
        <v>3</v>
      </c>
      <c r="AN321" t="n">
        <v>1</v>
      </c>
      <c r="AO321" t="n">
        <v>1</v>
      </c>
      <c r="AP321" t="inlineStr">
        <is>
          <t>No</t>
        </is>
      </c>
      <c r="AQ321" t="inlineStr">
        <is>
          <t>Yes</t>
        </is>
      </c>
      <c r="AR321">
        <f>HYPERLINK("http://catalog.hathitrust.org/Record/000343434","HathiTrust Record")</f>
        <v/>
      </c>
      <c r="AS321">
        <f>HYPERLINK("https://creighton-primo.hosted.exlibrisgroup.com/primo-explore/search?tab=default_tab&amp;search_scope=EVERYTHING&amp;vid=01CRU&amp;lang=en_US&amp;offset=0&amp;query=any,contains,991003433679702656","Catalog Record")</f>
        <v/>
      </c>
      <c r="AT321">
        <f>HYPERLINK("http://www.worldcat.org/oclc/513247","WorldCat Record")</f>
        <v/>
      </c>
      <c r="AU321" t="inlineStr">
        <is>
          <t>198574688:eng</t>
        </is>
      </c>
      <c r="AV321" t="inlineStr">
        <is>
          <t>513247</t>
        </is>
      </c>
      <c r="AW321" t="inlineStr">
        <is>
          <t>991003433679702656</t>
        </is>
      </c>
      <c r="AX321" t="inlineStr">
        <is>
          <t>991003433679702656</t>
        </is>
      </c>
      <c r="AY321" t="inlineStr">
        <is>
          <t>2263767180002656</t>
        </is>
      </c>
      <c r="AZ321" t="inlineStr">
        <is>
          <t>BOOK</t>
        </is>
      </c>
      <c r="BC321" t="inlineStr">
        <is>
          <t>32285001658698</t>
        </is>
      </c>
      <c r="BD321" t="inlineStr">
        <is>
          <t>893805775</t>
        </is>
      </c>
    </row>
    <row r="322">
      <c r="A322" t="inlineStr">
        <is>
          <t>No</t>
        </is>
      </c>
      <c r="B322" t="inlineStr">
        <is>
          <t>NA9204.R7 K7 1985</t>
        </is>
      </c>
      <c r="C322" t="inlineStr">
        <is>
          <t>0                      NA 9204000R  7                  K  7           1985</t>
        </is>
      </c>
      <c r="D322" t="inlineStr">
        <is>
          <t>The Rome of Alexander VII, 1655-1667 / Richard Krautheimer.</t>
        </is>
      </c>
      <c r="F322" t="inlineStr">
        <is>
          <t>No</t>
        </is>
      </c>
      <c r="G322" t="inlineStr">
        <is>
          <t>1</t>
        </is>
      </c>
      <c r="H322" t="inlineStr">
        <is>
          <t>No</t>
        </is>
      </c>
      <c r="I322" t="inlineStr">
        <is>
          <t>No</t>
        </is>
      </c>
      <c r="J322" t="inlineStr">
        <is>
          <t>0</t>
        </is>
      </c>
      <c r="K322" t="inlineStr">
        <is>
          <t>Krautheimer, Richard, 1897-1994.</t>
        </is>
      </c>
      <c r="L322" t="inlineStr">
        <is>
          <t>Princeton, N.J. : Princeton University Press, c1985.</t>
        </is>
      </c>
      <c r="M322" t="inlineStr">
        <is>
          <t>1985</t>
        </is>
      </c>
      <c r="O322" t="inlineStr">
        <is>
          <t>eng</t>
        </is>
      </c>
      <c r="P322" t="inlineStr">
        <is>
          <t>nju</t>
        </is>
      </c>
      <c r="R322" t="inlineStr">
        <is>
          <t xml:space="preserve">NA </t>
        </is>
      </c>
      <c r="S322" t="n">
        <v>3</v>
      </c>
      <c r="T322" t="n">
        <v>3</v>
      </c>
      <c r="U322" t="inlineStr">
        <is>
          <t>2010-03-08</t>
        </is>
      </c>
      <c r="V322" t="inlineStr">
        <is>
          <t>2010-03-08</t>
        </is>
      </c>
      <c r="W322" t="inlineStr">
        <is>
          <t>1992-04-01</t>
        </is>
      </c>
      <c r="X322" t="inlineStr">
        <is>
          <t>1992-04-01</t>
        </is>
      </c>
      <c r="Y322" t="n">
        <v>721</v>
      </c>
      <c r="Z322" t="n">
        <v>572</v>
      </c>
      <c r="AA322" t="n">
        <v>573</v>
      </c>
      <c r="AB322" t="n">
        <v>2</v>
      </c>
      <c r="AC322" t="n">
        <v>2</v>
      </c>
      <c r="AD322" t="n">
        <v>31</v>
      </c>
      <c r="AE322" t="n">
        <v>31</v>
      </c>
      <c r="AF322" t="n">
        <v>11</v>
      </c>
      <c r="AG322" t="n">
        <v>11</v>
      </c>
      <c r="AH322" t="n">
        <v>8</v>
      </c>
      <c r="AI322" t="n">
        <v>8</v>
      </c>
      <c r="AJ322" t="n">
        <v>21</v>
      </c>
      <c r="AK322" t="n">
        <v>21</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HYPERLINK("https://creighton-primo.hosted.exlibrisgroup.com/primo-explore/search?tab=default_tab&amp;search_scope=EVERYTHING&amp;vid=01CRU&amp;lang=en_US&amp;offset=0&amp;query=any,contains,991000558219702656","Catalog Record")</f>
        <v/>
      </c>
      <c r="AT322">
        <f>HYPERLINK("http://www.worldcat.org/oclc/11573665","WorldCat Record")</f>
        <v/>
      </c>
      <c r="AU322" t="inlineStr">
        <is>
          <t>117973296:eng</t>
        </is>
      </c>
      <c r="AV322" t="inlineStr">
        <is>
          <t>11573665</t>
        </is>
      </c>
      <c r="AW322" t="inlineStr">
        <is>
          <t>991000558219702656</t>
        </is>
      </c>
      <c r="AX322" t="inlineStr">
        <is>
          <t>991000558219702656</t>
        </is>
      </c>
      <c r="AY322" t="inlineStr">
        <is>
          <t>2265558680002656</t>
        </is>
      </c>
      <c r="AZ322" t="inlineStr">
        <is>
          <t>BOOK</t>
        </is>
      </c>
      <c r="BB322" t="inlineStr">
        <is>
          <t>9780691040325</t>
        </is>
      </c>
      <c r="BC322" t="inlineStr">
        <is>
          <t>32285001047488</t>
        </is>
      </c>
      <c r="BD322" t="inlineStr">
        <is>
          <t>893689807</t>
        </is>
      </c>
    </row>
    <row r="323">
      <c r="A323" t="inlineStr">
        <is>
          <t>No</t>
        </is>
      </c>
      <c r="B323" t="inlineStr">
        <is>
          <t>NA9350.W3 C7</t>
        </is>
      </c>
      <c r="C323" t="inlineStr">
        <is>
          <t>0                      NA 9350000W  3                  C  7</t>
        </is>
      </c>
      <c r="D323" t="inlineStr">
        <is>
          <t>The architecture of monuments; the Franklin Delano Roosevelt Memorial competition.</t>
        </is>
      </c>
      <c r="F323" t="inlineStr">
        <is>
          <t>No</t>
        </is>
      </c>
      <c r="G323" t="inlineStr">
        <is>
          <t>1</t>
        </is>
      </c>
      <c r="H323" t="inlineStr">
        <is>
          <t>No</t>
        </is>
      </c>
      <c r="I323" t="inlineStr">
        <is>
          <t>No</t>
        </is>
      </c>
      <c r="J323" t="inlineStr">
        <is>
          <t>0</t>
        </is>
      </c>
      <c r="K323" t="inlineStr">
        <is>
          <t>Creighton, Thomas H. (Thomas Hawk), 1904-1984.</t>
        </is>
      </c>
      <c r="L323" t="inlineStr">
        <is>
          <t>New York, Reinhold Pub. Corp. [1962]</t>
        </is>
      </c>
      <c r="M323" t="inlineStr">
        <is>
          <t>1962</t>
        </is>
      </c>
      <c r="O323" t="inlineStr">
        <is>
          <t>eng</t>
        </is>
      </c>
      <c r="P323" t="inlineStr">
        <is>
          <t>nyu</t>
        </is>
      </c>
      <c r="R323" t="inlineStr">
        <is>
          <t xml:space="preserve">NA </t>
        </is>
      </c>
      <c r="S323" t="n">
        <v>2</v>
      </c>
      <c r="T323" t="n">
        <v>2</v>
      </c>
      <c r="U323" t="inlineStr">
        <is>
          <t>2002-05-02</t>
        </is>
      </c>
      <c r="V323" t="inlineStr">
        <is>
          <t>2002-05-02</t>
        </is>
      </c>
      <c r="W323" t="inlineStr">
        <is>
          <t>1997-07-02</t>
        </is>
      </c>
      <c r="X323" t="inlineStr">
        <is>
          <t>1997-07-02</t>
        </is>
      </c>
      <c r="Y323" t="n">
        <v>230</v>
      </c>
      <c r="Z323" t="n">
        <v>184</v>
      </c>
      <c r="AA323" t="n">
        <v>193</v>
      </c>
      <c r="AB323" t="n">
        <v>2</v>
      </c>
      <c r="AC323" t="n">
        <v>2</v>
      </c>
      <c r="AD323" t="n">
        <v>5</v>
      </c>
      <c r="AE323" t="n">
        <v>6</v>
      </c>
      <c r="AF323" t="n">
        <v>1</v>
      </c>
      <c r="AG323" t="n">
        <v>2</v>
      </c>
      <c r="AH323" t="n">
        <v>1</v>
      </c>
      <c r="AI323" t="n">
        <v>1</v>
      </c>
      <c r="AJ323" t="n">
        <v>2</v>
      </c>
      <c r="AK323" t="n">
        <v>2</v>
      </c>
      <c r="AL323" t="n">
        <v>1</v>
      </c>
      <c r="AM323" t="n">
        <v>1</v>
      </c>
      <c r="AN323" t="n">
        <v>0</v>
      </c>
      <c r="AO323" t="n">
        <v>0</v>
      </c>
      <c r="AP323" t="inlineStr">
        <is>
          <t>Yes</t>
        </is>
      </c>
      <c r="AQ323" t="inlineStr">
        <is>
          <t>No</t>
        </is>
      </c>
      <c r="AR323">
        <f>HYPERLINK("http://catalog.hathitrust.org/Record/000344660","HathiTrust Record")</f>
        <v/>
      </c>
      <c r="AS323">
        <f>HYPERLINK("https://creighton-primo.hosted.exlibrisgroup.com/primo-explore/search?tab=default_tab&amp;search_scope=EVERYTHING&amp;vid=01CRU&amp;lang=en_US&amp;offset=0&amp;query=any,contains,991002161909702656","Catalog Record")</f>
        <v/>
      </c>
      <c r="AT323">
        <f>HYPERLINK("http://www.worldcat.org/oclc/274044","WorldCat Record")</f>
        <v/>
      </c>
      <c r="AU323" t="inlineStr">
        <is>
          <t>429036155:eng</t>
        </is>
      </c>
      <c r="AV323" t="inlineStr">
        <is>
          <t>274044</t>
        </is>
      </c>
      <c r="AW323" t="inlineStr">
        <is>
          <t>991002161909702656</t>
        </is>
      </c>
      <c r="AX323" t="inlineStr">
        <is>
          <t>991002161909702656</t>
        </is>
      </c>
      <c r="AY323" t="inlineStr">
        <is>
          <t>2260750670002656</t>
        </is>
      </c>
      <c r="AZ323" t="inlineStr">
        <is>
          <t>BOOK</t>
        </is>
      </c>
      <c r="BC323" t="inlineStr">
        <is>
          <t>32285002863313</t>
        </is>
      </c>
      <c r="BD323" t="inlineStr">
        <is>
          <t>893244834</t>
        </is>
      </c>
    </row>
    <row r="324">
      <c r="A324" t="inlineStr">
        <is>
          <t>No</t>
        </is>
      </c>
      <c r="B324" t="inlineStr">
        <is>
          <t>NA950 .P4 1960</t>
        </is>
      </c>
      <c r="C324" t="inlineStr">
        <is>
          <t>0                      NA 0950000P  4           1960</t>
        </is>
      </c>
      <c r="D324" t="inlineStr">
        <is>
          <t>An outline of European architecture.</t>
        </is>
      </c>
      <c r="F324" t="inlineStr">
        <is>
          <t>No</t>
        </is>
      </c>
      <c r="G324" t="inlineStr">
        <is>
          <t>1</t>
        </is>
      </c>
      <c r="H324" t="inlineStr">
        <is>
          <t>No</t>
        </is>
      </c>
      <c r="I324" t="inlineStr">
        <is>
          <t>No</t>
        </is>
      </c>
      <c r="J324" t="inlineStr">
        <is>
          <t>0</t>
        </is>
      </c>
      <c r="K324" t="inlineStr">
        <is>
          <t>Pevsner, Nikolaus, 1902-1983.</t>
        </is>
      </c>
      <c r="L324" t="inlineStr">
        <is>
          <t>Baltimore, Penguin Books [1960]</t>
        </is>
      </c>
      <c r="M324" t="inlineStr">
        <is>
          <t>1960</t>
        </is>
      </c>
      <c r="N324" t="inlineStr">
        <is>
          <t>[6th, Jubilee ed.]</t>
        </is>
      </c>
      <c r="O324" t="inlineStr">
        <is>
          <t>eng</t>
        </is>
      </c>
      <c r="P324" t="inlineStr">
        <is>
          <t xml:space="preserve">xx </t>
        </is>
      </c>
      <c r="R324" t="inlineStr">
        <is>
          <t xml:space="preserve">NA </t>
        </is>
      </c>
      <c r="S324" t="n">
        <v>2</v>
      </c>
      <c r="T324" t="n">
        <v>2</v>
      </c>
      <c r="U324" t="inlineStr">
        <is>
          <t>1997-07-25</t>
        </is>
      </c>
      <c r="V324" t="inlineStr">
        <is>
          <t>1997-07-25</t>
        </is>
      </c>
      <c r="W324" t="inlineStr">
        <is>
          <t>1997-05-27</t>
        </is>
      </c>
      <c r="X324" t="inlineStr">
        <is>
          <t>1997-05-27</t>
        </is>
      </c>
      <c r="Y324" t="n">
        <v>739</v>
      </c>
      <c r="Z324" t="n">
        <v>671</v>
      </c>
      <c r="AA324" t="n">
        <v>1644</v>
      </c>
      <c r="AB324" t="n">
        <v>6</v>
      </c>
      <c r="AC324" t="n">
        <v>11</v>
      </c>
      <c r="AD324" t="n">
        <v>23</v>
      </c>
      <c r="AE324" t="n">
        <v>57</v>
      </c>
      <c r="AF324" t="n">
        <v>8</v>
      </c>
      <c r="AG324" t="n">
        <v>27</v>
      </c>
      <c r="AH324" t="n">
        <v>4</v>
      </c>
      <c r="AI324" t="n">
        <v>10</v>
      </c>
      <c r="AJ324" t="n">
        <v>8</v>
      </c>
      <c r="AK324" t="n">
        <v>23</v>
      </c>
      <c r="AL324" t="n">
        <v>5</v>
      </c>
      <c r="AM324" t="n">
        <v>9</v>
      </c>
      <c r="AN324" t="n">
        <v>0</v>
      </c>
      <c r="AO324" t="n">
        <v>0</v>
      </c>
      <c r="AP324" t="inlineStr">
        <is>
          <t>No</t>
        </is>
      </c>
      <c r="AQ324" t="inlineStr">
        <is>
          <t>No</t>
        </is>
      </c>
      <c r="AR324">
        <f>HYPERLINK("http://catalog.hathitrust.org/Record/000452488","HathiTrust Record")</f>
        <v/>
      </c>
      <c r="AS324">
        <f>HYPERLINK("https://creighton-primo.hosted.exlibrisgroup.com/primo-explore/search?tab=default_tab&amp;search_scope=EVERYTHING&amp;vid=01CRU&amp;lang=en_US&amp;offset=0&amp;query=any,contains,991003370719702656","Catalog Record")</f>
        <v/>
      </c>
      <c r="AT324">
        <f>HYPERLINK("http://www.worldcat.org/oclc/906785","WorldCat Record")</f>
        <v/>
      </c>
      <c r="AU324" t="inlineStr">
        <is>
          <t>4918501297:eng</t>
        </is>
      </c>
      <c r="AV324" t="inlineStr">
        <is>
          <t>906785</t>
        </is>
      </c>
      <c r="AW324" t="inlineStr">
        <is>
          <t>991003370719702656</t>
        </is>
      </c>
      <c r="AX324" t="inlineStr">
        <is>
          <t>991003370719702656</t>
        </is>
      </c>
      <c r="AY324" t="inlineStr">
        <is>
          <t>2262208030002656</t>
        </is>
      </c>
      <c r="AZ324" t="inlineStr">
        <is>
          <t>BOOK</t>
        </is>
      </c>
      <c r="BC324" t="inlineStr">
        <is>
          <t>32285002696473</t>
        </is>
      </c>
      <c r="BD324" t="inlineStr">
        <is>
          <t>893416320</t>
        </is>
      </c>
    </row>
    <row r="325">
      <c r="A325" t="inlineStr">
        <is>
          <t>No</t>
        </is>
      </c>
      <c r="B325" t="inlineStr">
        <is>
          <t>NA954 .B34</t>
        </is>
      </c>
      <c r="C325" t="inlineStr">
        <is>
          <t>0                      NA 0954000B  34</t>
        </is>
      </c>
      <c r="D325" t="inlineStr">
        <is>
          <t>Architecture and interior design : Europe and America from the colonial era to today / Victoria Kloss Ball.</t>
        </is>
      </c>
      <c r="F325" t="inlineStr">
        <is>
          <t>No</t>
        </is>
      </c>
      <c r="G325" t="inlineStr">
        <is>
          <t>1</t>
        </is>
      </c>
      <c r="H325" t="inlineStr">
        <is>
          <t>No</t>
        </is>
      </c>
      <c r="I325" t="inlineStr">
        <is>
          <t>Yes</t>
        </is>
      </c>
      <c r="J325" t="inlineStr">
        <is>
          <t>0</t>
        </is>
      </c>
      <c r="K325" t="inlineStr">
        <is>
          <t>Ball, Victoria Kloss.</t>
        </is>
      </c>
      <c r="L325" t="inlineStr">
        <is>
          <t>New York : Wiley, 1980.</t>
        </is>
      </c>
      <c r="M325" t="inlineStr">
        <is>
          <t>1980</t>
        </is>
      </c>
      <c r="O325" t="inlineStr">
        <is>
          <t>eng</t>
        </is>
      </c>
      <c r="P325" t="inlineStr">
        <is>
          <t>nyu</t>
        </is>
      </c>
      <c r="R325" t="inlineStr">
        <is>
          <t xml:space="preserve">NA </t>
        </is>
      </c>
      <c r="S325" t="n">
        <v>6</v>
      </c>
      <c r="T325" t="n">
        <v>6</v>
      </c>
      <c r="U325" t="inlineStr">
        <is>
          <t>1999-04-29</t>
        </is>
      </c>
      <c r="V325" t="inlineStr">
        <is>
          <t>1999-04-29</t>
        </is>
      </c>
      <c r="W325" t="inlineStr">
        <is>
          <t>1992-03-17</t>
        </is>
      </c>
      <c r="X325" t="inlineStr">
        <is>
          <t>1992-03-17</t>
        </is>
      </c>
      <c r="Y325" t="n">
        <v>576</v>
      </c>
      <c r="Z325" t="n">
        <v>494</v>
      </c>
      <c r="AA325" t="n">
        <v>646</v>
      </c>
      <c r="AB325" t="n">
        <v>3</v>
      </c>
      <c r="AC325" t="n">
        <v>3</v>
      </c>
      <c r="AD325" t="n">
        <v>16</v>
      </c>
      <c r="AE325" t="n">
        <v>21</v>
      </c>
      <c r="AF325" t="n">
        <v>5</v>
      </c>
      <c r="AG325" t="n">
        <v>9</v>
      </c>
      <c r="AH325" t="n">
        <v>6</v>
      </c>
      <c r="AI325" t="n">
        <v>6</v>
      </c>
      <c r="AJ325" t="n">
        <v>6</v>
      </c>
      <c r="AK325" t="n">
        <v>7</v>
      </c>
      <c r="AL325" t="n">
        <v>2</v>
      </c>
      <c r="AM325" t="n">
        <v>2</v>
      </c>
      <c r="AN325" t="n">
        <v>0</v>
      </c>
      <c r="AO325" t="n">
        <v>0</v>
      </c>
      <c r="AP325" t="inlineStr">
        <is>
          <t>No</t>
        </is>
      </c>
      <c r="AQ325" t="inlineStr">
        <is>
          <t>Yes</t>
        </is>
      </c>
      <c r="AR325">
        <f>HYPERLINK("http://catalog.hathitrust.org/Record/000144020","HathiTrust Record")</f>
        <v/>
      </c>
      <c r="AS325">
        <f>HYPERLINK("https://creighton-primo.hosted.exlibrisgroup.com/primo-explore/search?tab=default_tab&amp;search_scope=EVERYTHING&amp;vid=01CRU&amp;lang=en_US&amp;offset=0&amp;query=any,contains,991004865359702656","Catalog Record")</f>
        <v/>
      </c>
      <c r="AT325">
        <f>HYPERLINK("http://www.worldcat.org/oclc/5726617","WorldCat Record")</f>
        <v/>
      </c>
      <c r="AU325" t="inlineStr">
        <is>
          <t>488771:eng</t>
        </is>
      </c>
      <c r="AV325" t="inlineStr">
        <is>
          <t>5726617</t>
        </is>
      </c>
      <c r="AW325" t="inlineStr">
        <is>
          <t>991004865359702656</t>
        </is>
      </c>
      <c r="AX325" t="inlineStr">
        <is>
          <t>991004865359702656</t>
        </is>
      </c>
      <c r="AY325" t="inlineStr">
        <is>
          <t>2263177300002656</t>
        </is>
      </c>
      <c r="AZ325" t="inlineStr">
        <is>
          <t>BOOK</t>
        </is>
      </c>
      <c r="BB325" t="inlineStr">
        <is>
          <t>9780471051619</t>
        </is>
      </c>
      <c r="BC325" t="inlineStr">
        <is>
          <t>32285001023646</t>
        </is>
      </c>
      <c r="BD325" t="inlineStr">
        <is>
          <t>893443128</t>
        </is>
      </c>
    </row>
    <row r="326">
      <c r="A326" t="inlineStr">
        <is>
          <t>No</t>
        </is>
      </c>
      <c r="B326" t="inlineStr">
        <is>
          <t>NA961 .Y3</t>
        </is>
      </c>
      <c r="C326" t="inlineStr">
        <is>
          <t>0                      NA 0961000Y  3</t>
        </is>
      </c>
      <c r="D326" t="inlineStr">
        <is>
          <t>The architecture of England : from prehistoric times to the present day.</t>
        </is>
      </c>
      <c r="F326" t="inlineStr">
        <is>
          <t>No</t>
        </is>
      </c>
      <c r="G326" t="inlineStr">
        <is>
          <t>1</t>
        </is>
      </c>
      <c r="H326" t="inlineStr">
        <is>
          <t>No</t>
        </is>
      </c>
      <c r="I326" t="inlineStr">
        <is>
          <t>No</t>
        </is>
      </c>
      <c r="J326" t="inlineStr">
        <is>
          <t>0</t>
        </is>
      </c>
      <c r="K326" t="inlineStr">
        <is>
          <t>Yarwood, Doreen.</t>
        </is>
      </c>
      <c r="L326" t="inlineStr">
        <is>
          <t>London : B.T. Batsford ; New York : Putnam, [1963]</t>
        </is>
      </c>
      <c r="M326" t="inlineStr">
        <is>
          <t>1963</t>
        </is>
      </c>
      <c r="O326" t="inlineStr">
        <is>
          <t>eng</t>
        </is>
      </c>
      <c r="P326" t="inlineStr">
        <is>
          <t>enk</t>
        </is>
      </c>
      <c r="R326" t="inlineStr">
        <is>
          <t xml:space="preserve">NA </t>
        </is>
      </c>
      <c r="S326" t="n">
        <v>13</v>
      </c>
      <c r="T326" t="n">
        <v>13</v>
      </c>
      <c r="U326" t="inlineStr">
        <is>
          <t>2009-10-28</t>
        </is>
      </c>
      <c r="V326" t="inlineStr">
        <is>
          <t>2009-10-28</t>
        </is>
      </c>
      <c r="W326" t="inlineStr">
        <is>
          <t>1990-09-20</t>
        </is>
      </c>
      <c r="X326" t="inlineStr">
        <is>
          <t>1990-09-20</t>
        </is>
      </c>
      <c r="Y326" t="n">
        <v>446</v>
      </c>
      <c r="Z326" t="n">
        <v>333</v>
      </c>
      <c r="AA326" t="n">
        <v>436</v>
      </c>
      <c r="AB326" t="n">
        <v>2</v>
      </c>
      <c r="AC326" t="n">
        <v>2</v>
      </c>
      <c r="AD326" t="n">
        <v>10</v>
      </c>
      <c r="AE326" t="n">
        <v>17</v>
      </c>
      <c r="AF326" t="n">
        <v>4</v>
      </c>
      <c r="AG326" t="n">
        <v>8</v>
      </c>
      <c r="AH326" t="n">
        <v>2</v>
      </c>
      <c r="AI326" t="n">
        <v>4</v>
      </c>
      <c r="AJ326" t="n">
        <v>5</v>
      </c>
      <c r="AK326" t="n">
        <v>9</v>
      </c>
      <c r="AL326" t="n">
        <v>1</v>
      </c>
      <c r="AM326" t="n">
        <v>1</v>
      </c>
      <c r="AN326" t="n">
        <v>0</v>
      </c>
      <c r="AO326" t="n">
        <v>0</v>
      </c>
      <c r="AP326" t="inlineStr">
        <is>
          <t>No</t>
        </is>
      </c>
      <c r="AQ326" t="inlineStr">
        <is>
          <t>Yes</t>
        </is>
      </c>
      <c r="AR326">
        <f>HYPERLINK("http://catalog.hathitrust.org/Record/000454133","HathiTrust Record")</f>
        <v/>
      </c>
      <c r="AS326">
        <f>HYPERLINK("https://creighton-primo.hosted.exlibrisgroup.com/primo-explore/search?tab=default_tab&amp;search_scope=EVERYTHING&amp;vid=01CRU&amp;lang=en_US&amp;offset=0&amp;query=any,contains,991001387569702656","Catalog Record")</f>
        <v/>
      </c>
      <c r="AT326">
        <f>HYPERLINK("http://www.worldcat.org/oclc/227623","WorldCat Record")</f>
        <v/>
      </c>
      <c r="AU326" t="inlineStr">
        <is>
          <t>352707375:eng</t>
        </is>
      </c>
      <c r="AV326" t="inlineStr">
        <is>
          <t>227623</t>
        </is>
      </c>
      <c r="AW326" t="inlineStr">
        <is>
          <t>991001387569702656</t>
        </is>
      </c>
      <c r="AX326" t="inlineStr">
        <is>
          <t>991001387569702656</t>
        </is>
      </c>
      <c r="AY326" t="inlineStr">
        <is>
          <t>2255785730002656</t>
        </is>
      </c>
      <c r="AZ326" t="inlineStr">
        <is>
          <t>BOOK</t>
        </is>
      </c>
      <c r="BC326" t="inlineStr">
        <is>
          <t>32285000306174</t>
        </is>
      </c>
      <c r="BD326" t="inlineStr">
        <is>
          <t>893509593</t>
        </is>
      </c>
    </row>
    <row r="327">
      <c r="A327" t="inlineStr">
        <is>
          <t>No</t>
        </is>
      </c>
      <c r="B327" t="inlineStr">
        <is>
          <t>NA966.5.G66 M33 1987</t>
        </is>
      </c>
      <c r="C327" t="inlineStr">
        <is>
          <t>0                      NA 0966500G  66                 M  33          1987</t>
        </is>
      </c>
      <c r="D327" t="inlineStr">
        <is>
          <t>The origins of the Gothic revival / Michael McCarthy.</t>
        </is>
      </c>
      <c r="F327" t="inlineStr">
        <is>
          <t>No</t>
        </is>
      </c>
      <c r="G327" t="inlineStr">
        <is>
          <t>1</t>
        </is>
      </c>
      <c r="H327" t="inlineStr">
        <is>
          <t>No</t>
        </is>
      </c>
      <c r="I327" t="inlineStr">
        <is>
          <t>No</t>
        </is>
      </c>
      <c r="J327" t="inlineStr">
        <is>
          <t>0</t>
        </is>
      </c>
      <c r="K327" t="inlineStr">
        <is>
          <t>McCarthy, Michael J., 1939-</t>
        </is>
      </c>
      <c r="L327" t="inlineStr">
        <is>
          <t>New Haven : Published for the Paul Mellon Centre for Studies in British Art by Yale University Press, 1987.</t>
        </is>
      </c>
      <c r="M327" t="inlineStr">
        <is>
          <t>1987</t>
        </is>
      </c>
      <c r="O327" t="inlineStr">
        <is>
          <t>eng</t>
        </is>
      </c>
      <c r="P327" t="inlineStr">
        <is>
          <t>ctu</t>
        </is>
      </c>
      <c r="R327" t="inlineStr">
        <is>
          <t xml:space="preserve">NA </t>
        </is>
      </c>
      <c r="S327" t="n">
        <v>2</v>
      </c>
      <c r="T327" t="n">
        <v>2</v>
      </c>
      <c r="U327" t="inlineStr">
        <is>
          <t>1999-02-20</t>
        </is>
      </c>
      <c r="V327" t="inlineStr">
        <is>
          <t>1999-02-20</t>
        </is>
      </c>
      <c r="W327" t="inlineStr">
        <is>
          <t>1993-05-13</t>
        </is>
      </c>
      <c r="X327" t="inlineStr">
        <is>
          <t>1993-05-13</t>
        </is>
      </c>
      <c r="Y327" t="n">
        <v>537</v>
      </c>
      <c r="Z327" t="n">
        <v>390</v>
      </c>
      <c r="AA327" t="n">
        <v>391</v>
      </c>
      <c r="AB327" t="n">
        <v>2</v>
      </c>
      <c r="AC327" t="n">
        <v>2</v>
      </c>
      <c r="AD327" t="n">
        <v>18</v>
      </c>
      <c r="AE327" t="n">
        <v>18</v>
      </c>
      <c r="AF327" t="n">
        <v>7</v>
      </c>
      <c r="AG327" t="n">
        <v>7</v>
      </c>
      <c r="AH327" t="n">
        <v>6</v>
      </c>
      <c r="AI327" t="n">
        <v>6</v>
      </c>
      <c r="AJ327" t="n">
        <v>9</v>
      </c>
      <c r="AK327" t="n">
        <v>9</v>
      </c>
      <c r="AL327" t="n">
        <v>1</v>
      </c>
      <c r="AM327" t="n">
        <v>1</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HYPERLINK("https://creighton-primo.hosted.exlibrisgroup.com/primo-explore/search?tab=default_tab&amp;search_scope=EVERYTHING&amp;vid=01CRU&amp;lang=en_US&amp;offset=0&amp;query=any,contains,991000952989702656","Catalog Record")</f>
        <v/>
      </c>
      <c r="AT327">
        <f>HYPERLINK("http://www.worldcat.org/oclc/14692838","WorldCat Record")</f>
        <v/>
      </c>
      <c r="AU327" t="inlineStr">
        <is>
          <t>118151112:eng</t>
        </is>
      </c>
      <c r="AV327" t="inlineStr">
        <is>
          <t>14692838</t>
        </is>
      </c>
      <c r="AW327" t="inlineStr">
        <is>
          <t>991000952989702656</t>
        </is>
      </c>
      <c r="AX327" t="inlineStr">
        <is>
          <t>991000952989702656</t>
        </is>
      </c>
      <c r="AY327" t="inlineStr">
        <is>
          <t>2258125670002656</t>
        </is>
      </c>
      <c r="AZ327" t="inlineStr">
        <is>
          <t>BOOK</t>
        </is>
      </c>
      <c r="BB327" t="inlineStr">
        <is>
          <t>9780300037234</t>
        </is>
      </c>
      <c r="BC327" t="inlineStr">
        <is>
          <t>32285001654663</t>
        </is>
      </c>
      <c r="BD327" t="inlineStr">
        <is>
          <t>893321518</t>
        </is>
      </c>
    </row>
    <row r="328">
      <c r="A328" t="inlineStr">
        <is>
          <t>No</t>
        </is>
      </c>
      <c r="B328" t="inlineStr">
        <is>
          <t>NA967 .D59</t>
        </is>
      </c>
      <c r="C328" t="inlineStr">
        <is>
          <t>0                      NA 0967000D  59</t>
        </is>
      </c>
      <c r="D328" t="inlineStr">
        <is>
          <t>Victorian architecture / Roger Dixon, Stefan Muthesius.</t>
        </is>
      </c>
      <c r="F328" t="inlineStr">
        <is>
          <t>No</t>
        </is>
      </c>
      <c r="G328" t="inlineStr">
        <is>
          <t>1</t>
        </is>
      </c>
      <c r="H328" t="inlineStr">
        <is>
          <t>No</t>
        </is>
      </c>
      <c r="I328" t="inlineStr">
        <is>
          <t>No</t>
        </is>
      </c>
      <c r="J328" t="inlineStr">
        <is>
          <t>0</t>
        </is>
      </c>
      <c r="K328" t="inlineStr">
        <is>
          <t>Dixon, Roger, 1935-</t>
        </is>
      </c>
      <c r="L328" t="inlineStr">
        <is>
          <t>New York : Oxford University Press, 1978.</t>
        </is>
      </c>
      <c r="M328" t="inlineStr">
        <is>
          <t>1978</t>
        </is>
      </c>
      <c r="O328" t="inlineStr">
        <is>
          <t>eng</t>
        </is>
      </c>
      <c r="P328" t="inlineStr">
        <is>
          <t>nyu</t>
        </is>
      </c>
      <c r="Q328" t="inlineStr">
        <is>
          <t>[The World of art]</t>
        </is>
      </c>
      <c r="R328" t="inlineStr">
        <is>
          <t xml:space="preserve">NA </t>
        </is>
      </c>
      <c r="S328" t="n">
        <v>4</v>
      </c>
      <c r="T328" t="n">
        <v>4</v>
      </c>
      <c r="U328" t="inlineStr">
        <is>
          <t>1998-01-14</t>
        </is>
      </c>
      <c r="V328" t="inlineStr">
        <is>
          <t>1998-01-14</t>
        </is>
      </c>
      <c r="W328" t="inlineStr">
        <is>
          <t>1992-07-14</t>
        </is>
      </c>
      <c r="X328" t="inlineStr">
        <is>
          <t>1992-07-14</t>
        </is>
      </c>
      <c r="Y328" t="n">
        <v>857</v>
      </c>
      <c r="Z328" t="n">
        <v>800</v>
      </c>
      <c r="AA328" t="n">
        <v>983</v>
      </c>
      <c r="AB328" t="n">
        <v>3</v>
      </c>
      <c r="AC328" t="n">
        <v>4</v>
      </c>
      <c r="AD328" t="n">
        <v>26</v>
      </c>
      <c r="AE328" t="n">
        <v>33</v>
      </c>
      <c r="AF328" t="n">
        <v>11</v>
      </c>
      <c r="AG328" t="n">
        <v>15</v>
      </c>
      <c r="AH328" t="n">
        <v>9</v>
      </c>
      <c r="AI328" t="n">
        <v>10</v>
      </c>
      <c r="AJ328" t="n">
        <v>12</v>
      </c>
      <c r="AK328" t="n">
        <v>16</v>
      </c>
      <c r="AL328" t="n">
        <v>1</v>
      </c>
      <c r="AM328" t="n">
        <v>2</v>
      </c>
      <c r="AN328" t="n">
        <v>0</v>
      </c>
      <c r="AO328" t="n">
        <v>0</v>
      </c>
      <c r="AP328" t="inlineStr">
        <is>
          <t>No</t>
        </is>
      </c>
      <c r="AQ328" t="inlineStr">
        <is>
          <t>Yes</t>
        </is>
      </c>
      <c r="AR328">
        <f>HYPERLINK("http://catalog.hathitrust.org/Record/000256962","HathiTrust Record")</f>
        <v/>
      </c>
      <c r="AS328">
        <f>HYPERLINK("https://creighton-primo.hosted.exlibrisgroup.com/primo-explore/search?tab=default_tab&amp;search_scope=EVERYTHING&amp;vid=01CRU&amp;lang=en_US&amp;offset=0&amp;query=any,contains,991004664649702656","Catalog Record")</f>
        <v/>
      </c>
      <c r="AT328">
        <f>HYPERLINK("http://www.worldcat.org/oclc/4500034","WorldCat Record")</f>
        <v/>
      </c>
      <c r="AU328" t="inlineStr">
        <is>
          <t>115343299:eng</t>
        </is>
      </c>
      <c r="AV328" t="inlineStr">
        <is>
          <t>4500034</t>
        </is>
      </c>
      <c r="AW328" t="inlineStr">
        <is>
          <t>991004664649702656</t>
        </is>
      </c>
      <c r="AX328" t="inlineStr">
        <is>
          <t>991004664649702656</t>
        </is>
      </c>
      <c r="AY328" t="inlineStr">
        <is>
          <t>2266656520002656</t>
        </is>
      </c>
      <c r="AZ328" t="inlineStr">
        <is>
          <t>BOOK</t>
        </is>
      </c>
      <c r="BB328" t="inlineStr">
        <is>
          <t>9780195200485</t>
        </is>
      </c>
      <c r="BC328" t="inlineStr">
        <is>
          <t>32285001152445</t>
        </is>
      </c>
      <c r="BD328" t="inlineStr">
        <is>
          <t>893776277</t>
        </is>
      </c>
    </row>
    <row r="329">
      <c r="A329" t="inlineStr">
        <is>
          <t>No</t>
        </is>
      </c>
      <c r="B329" t="inlineStr">
        <is>
          <t>NA967 .F4 1964</t>
        </is>
      </c>
      <c r="C329" t="inlineStr">
        <is>
          <t>0                      NA 0967000F  4           1964</t>
        </is>
      </c>
      <c r="D329" t="inlineStr">
        <is>
          <t>Victorian architecture / with an introd. by John Betjeman and contributions by Nikolaus Pevsner [and others]</t>
        </is>
      </c>
      <c r="F329" t="inlineStr">
        <is>
          <t>No</t>
        </is>
      </c>
      <c r="G329" t="inlineStr">
        <is>
          <t>1</t>
        </is>
      </c>
      <c r="H329" t="inlineStr">
        <is>
          <t>No</t>
        </is>
      </c>
      <c r="I329" t="inlineStr">
        <is>
          <t>No</t>
        </is>
      </c>
      <c r="J329" t="inlineStr">
        <is>
          <t>0</t>
        </is>
      </c>
      <c r="K329" t="inlineStr">
        <is>
          <t>Ferriday, Peter, editor.</t>
        </is>
      </c>
      <c r="L329" t="inlineStr">
        <is>
          <t>Philadelphia : Lippincott, 1964 [c1963]</t>
        </is>
      </c>
      <c r="M329" t="inlineStr">
        <is>
          <t>1964</t>
        </is>
      </c>
      <c r="O329" t="inlineStr">
        <is>
          <t>eng</t>
        </is>
      </c>
      <c r="P329" t="inlineStr">
        <is>
          <t>pau</t>
        </is>
      </c>
      <c r="R329" t="inlineStr">
        <is>
          <t xml:space="preserve">NA </t>
        </is>
      </c>
      <c r="S329" t="n">
        <v>4</v>
      </c>
      <c r="T329" t="n">
        <v>4</v>
      </c>
      <c r="U329" t="inlineStr">
        <is>
          <t>1993-09-10</t>
        </is>
      </c>
      <c r="V329" t="inlineStr">
        <is>
          <t>1993-09-10</t>
        </is>
      </c>
      <c r="W329" t="inlineStr">
        <is>
          <t>1992-07-15</t>
        </is>
      </c>
      <c r="X329" t="inlineStr">
        <is>
          <t>1992-07-15</t>
        </is>
      </c>
      <c r="Y329" t="n">
        <v>477</v>
      </c>
      <c r="Z329" t="n">
        <v>450</v>
      </c>
      <c r="AA329" t="n">
        <v>552</v>
      </c>
      <c r="AB329" t="n">
        <v>2</v>
      </c>
      <c r="AC329" t="n">
        <v>4</v>
      </c>
      <c r="AD329" t="n">
        <v>16</v>
      </c>
      <c r="AE329" t="n">
        <v>22</v>
      </c>
      <c r="AF329" t="n">
        <v>8</v>
      </c>
      <c r="AG329" t="n">
        <v>8</v>
      </c>
      <c r="AH329" t="n">
        <v>4</v>
      </c>
      <c r="AI329" t="n">
        <v>4</v>
      </c>
      <c r="AJ329" t="n">
        <v>7</v>
      </c>
      <c r="AK329" t="n">
        <v>11</v>
      </c>
      <c r="AL329" t="n">
        <v>1</v>
      </c>
      <c r="AM329" t="n">
        <v>3</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HYPERLINK("https://creighton-primo.hosted.exlibrisgroup.com/primo-explore/search?tab=default_tab&amp;search_scope=EVERYTHING&amp;vid=01CRU&amp;lang=en_US&amp;offset=0&amp;query=any,contains,991002137889702656","Catalog Record")</f>
        <v/>
      </c>
      <c r="AT329">
        <f>HYPERLINK("http://www.worldcat.org/oclc/270335","WorldCat Record")</f>
        <v/>
      </c>
      <c r="AU329" t="inlineStr">
        <is>
          <t>346678186:eng</t>
        </is>
      </c>
      <c r="AV329" t="inlineStr">
        <is>
          <t>270335</t>
        </is>
      </c>
      <c r="AW329" t="inlineStr">
        <is>
          <t>991002137889702656</t>
        </is>
      </c>
      <c r="AX329" t="inlineStr">
        <is>
          <t>991002137889702656</t>
        </is>
      </c>
      <c r="AY329" t="inlineStr">
        <is>
          <t>2263836640002656</t>
        </is>
      </c>
      <c r="AZ329" t="inlineStr">
        <is>
          <t>BOOK</t>
        </is>
      </c>
      <c r="BC329" t="inlineStr">
        <is>
          <t>32285001152437</t>
        </is>
      </c>
      <c r="BD329" t="inlineStr">
        <is>
          <t>893792068</t>
        </is>
      </c>
    </row>
    <row r="330">
      <c r="A330" t="inlineStr">
        <is>
          <t>No</t>
        </is>
      </c>
      <c r="B330" t="inlineStr">
        <is>
          <t>NA967 .H55</t>
        </is>
      </c>
      <c r="C330" t="inlineStr">
        <is>
          <t>0                      NA 0967000H  55</t>
        </is>
      </c>
      <c r="D330" t="inlineStr">
        <is>
          <t>Early Victorian architecture in Britain.</t>
        </is>
      </c>
      <c r="E330" t="inlineStr">
        <is>
          <t>V.2</t>
        </is>
      </c>
      <c r="F330" t="inlineStr">
        <is>
          <t>Yes</t>
        </is>
      </c>
      <c r="G330" t="inlineStr">
        <is>
          <t>1</t>
        </is>
      </c>
      <c r="H330" t="inlineStr">
        <is>
          <t>No</t>
        </is>
      </c>
      <c r="I330" t="inlineStr">
        <is>
          <t>No</t>
        </is>
      </c>
      <c r="J330" t="inlineStr">
        <is>
          <t>0</t>
        </is>
      </c>
      <c r="K330" t="inlineStr">
        <is>
          <t>Hitchcock, Henry-Russell, 1903-1987.</t>
        </is>
      </c>
      <c r="L330" t="inlineStr">
        <is>
          <t>New Haven, Yale University Press, 1954.</t>
        </is>
      </c>
      <c r="M330" t="inlineStr">
        <is>
          <t>1954</t>
        </is>
      </c>
      <c r="O330" t="inlineStr">
        <is>
          <t>eng</t>
        </is>
      </c>
      <c r="P330" t="inlineStr">
        <is>
          <t>ctu</t>
        </is>
      </c>
      <c r="Q330" t="inlineStr">
        <is>
          <t>Yale historical publications. History of art ; 9</t>
        </is>
      </c>
      <c r="R330" t="inlineStr">
        <is>
          <t xml:space="preserve">NA </t>
        </is>
      </c>
      <c r="S330" t="n">
        <v>2</v>
      </c>
      <c r="T330" t="n">
        <v>4</v>
      </c>
      <c r="U330" t="inlineStr">
        <is>
          <t>1998-01-14</t>
        </is>
      </c>
      <c r="V330" t="inlineStr">
        <is>
          <t>1998-01-14</t>
        </is>
      </c>
      <c r="W330" t="inlineStr">
        <is>
          <t>1997-07-01</t>
        </is>
      </c>
      <c r="X330" t="inlineStr">
        <is>
          <t>1997-07-01</t>
        </is>
      </c>
      <c r="Y330" t="n">
        <v>500</v>
      </c>
      <c r="Z330" t="n">
        <v>425</v>
      </c>
      <c r="AA330" t="n">
        <v>579</v>
      </c>
      <c r="AB330" t="n">
        <v>3</v>
      </c>
      <c r="AC330" t="n">
        <v>6</v>
      </c>
      <c r="AD330" t="n">
        <v>16</v>
      </c>
      <c r="AE330" t="n">
        <v>25</v>
      </c>
      <c r="AF330" t="n">
        <v>6</v>
      </c>
      <c r="AG330" t="n">
        <v>8</v>
      </c>
      <c r="AH330" t="n">
        <v>6</v>
      </c>
      <c r="AI330" t="n">
        <v>7</v>
      </c>
      <c r="AJ330" t="n">
        <v>6</v>
      </c>
      <c r="AK330" t="n">
        <v>10</v>
      </c>
      <c r="AL330" t="n">
        <v>2</v>
      </c>
      <c r="AM330" t="n">
        <v>5</v>
      </c>
      <c r="AN330" t="n">
        <v>0</v>
      </c>
      <c r="AO330" t="n">
        <v>0</v>
      </c>
      <c r="AP330" t="inlineStr">
        <is>
          <t>No</t>
        </is>
      </c>
      <c r="AQ330" t="inlineStr">
        <is>
          <t>Yes</t>
        </is>
      </c>
      <c r="AR330">
        <f>HYPERLINK("http://catalog.hathitrust.org/Record/000453389","HathiTrust Record")</f>
        <v/>
      </c>
      <c r="AS330">
        <f>HYPERLINK("https://creighton-primo.hosted.exlibrisgroup.com/primo-explore/search?tab=default_tab&amp;search_scope=EVERYTHING&amp;vid=01CRU&amp;lang=en_US&amp;offset=0&amp;query=any,contains,991003374519702656","Catalog Record")</f>
        <v/>
      </c>
      <c r="AT330">
        <f>HYPERLINK("http://www.worldcat.org/oclc/911246","WorldCat Record")</f>
        <v/>
      </c>
      <c r="AU330" t="inlineStr">
        <is>
          <t>4241269352:eng</t>
        </is>
      </c>
      <c r="AV330" t="inlineStr">
        <is>
          <t>911246</t>
        </is>
      </c>
      <c r="AW330" t="inlineStr">
        <is>
          <t>991003374519702656</t>
        </is>
      </c>
      <c r="AX330" t="inlineStr">
        <is>
          <t>991003374519702656</t>
        </is>
      </c>
      <c r="AY330" t="inlineStr">
        <is>
          <t>2266528690002656</t>
        </is>
      </c>
      <c r="AZ330" t="inlineStr">
        <is>
          <t>BOOK</t>
        </is>
      </c>
      <c r="BC330" t="inlineStr">
        <is>
          <t>32285002861622</t>
        </is>
      </c>
      <c r="BD330" t="inlineStr">
        <is>
          <t>893899929</t>
        </is>
      </c>
    </row>
    <row r="331">
      <c r="A331" t="inlineStr">
        <is>
          <t>No</t>
        </is>
      </c>
      <c r="B331" t="inlineStr">
        <is>
          <t>NA967 .H55</t>
        </is>
      </c>
      <c r="C331" t="inlineStr">
        <is>
          <t>0                      NA 0967000H  55</t>
        </is>
      </c>
      <c r="D331" t="inlineStr">
        <is>
          <t>Early Victorian architecture in Britain.</t>
        </is>
      </c>
      <c r="E331" t="inlineStr">
        <is>
          <t>V.1</t>
        </is>
      </c>
      <c r="F331" t="inlineStr">
        <is>
          <t>Yes</t>
        </is>
      </c>
      <c r="G331" t="inlineStr">
        <is>
          <t>1</t>
        </is>
      </c>
      <c r="H331" t="inlineStr">
        <is>
          <t>No</t>
        </is>
      </c>
      <c r="I331" t="inlineStr">
        <is>
          <t>No</t>
        </is>
      </c>
      <c r="J331" t="inlineStr">
        <is>
          <t>0</t>
        </is>
      </c>
      <c r="K331" t="inlineStr">
        <is>
          <t>Hitchcock, Henry-Russell, 1903-1987.</t>
        </is>
      </c>
      <c r="L331" t="inlineStr">
        <is>
          <t>New Haven, Yale University Press, 1954.</t>
        </is>
      </c>
      <c r="M331" t="inlineStr">
        <is>
          <t>1954</t>
        </is>
      </c>
      <c r="O331" t="inlineStr">
        <is>
          <t>eng</t>
        </is>
      </c>
      <c r="P331" t="inlineStr">
        <is>
          <t>ctu</t>
        </is>
      </c>
      <c r="Q331" t="inlineStr">
        <is>
          <t>Yale historical publications. History of art ; 9</t>
        </is>
      </c>
      <c r="R331" t="inlineStr">
        <is>
          <t xml:space="preserve">NA </t>
        </is>
      </c>
      <c r="S331" t="n">
        <v>2</v>
      </c>
      <c r="T331" t="n">
        <v>4</v>
      </c>
      <c r="U331" t="inlineStr">
        <is>
          <t>1998-01-14</t>
        </is>
      </c>
      <c r="V331" t="inlineStr">
        <is>
          <t>1998-01-14</t>
        </is>
      </c>
      <c r="W331" t="inlineStr">
        <is>
          <t>1997-07-01</t>
        </is>
      </c>
      <c r="X331" t="inlineStr">
        <is>
          <t>1997-07-01</t>
        </is>
      </c>
      <c r="Y331" t="n">
        <v>500</v>
      </c>
      <c r="Z331" t="n">
        <v>425</v>
      </c>
      <c r="AA331" t="n">
        <v>579</v>
      </c>
      <c r="AB331" t="n">
        <v>3</v>
      </c>
      <c r="AC331" t="n">
        <v>6</v>
      </c>
      <c r="AD331" t="n">
        <v>16</v>
      </c>
      <c r="AE331" t="n">
        <v>25</v>
      </c>
      <c r="AF331" t="n">
        <v>6</v>
      </c>
      <c r="AG331" t="n">
        <v>8</v>
      </c>
      <c r="AH331" t="n">
        <v>6</v>
      </c>
      <c r="AI331" t="n">
        <v>7</v>
      </c>
      <c r="AJ331" t="n">
        <v>6</v>
      </c>
      <c r="AK331" t="n">
        <v>10</v>
      </c>
      <c r="AL331" t="n">
        <v>2</v>
      </c>
      <c r="AM331" t="n">
        <v>5</v>
      </c>
      <c r="AN331" t="n">
        <v>0</v>
      </c>
      <c r="AO331" t="n">
        <v>0</v>
      </c>
      <c r="AP331" t="inlineStr">
        <is>
          <t>No</t>
        </is>
      </c>
      <c r="AQ331" t="inlineStr">
        <is>
          <t>Yes</t>
        </is>
      </c>
      <c r="AR331">
        <f>HYPERLINK("http://catalog.hathitrust.org/Record/000453389","HathiTrust Record")</f>
        <v/>
      </c>
      <c r="AS331">
        <f>HYPERLINK("https://creighton-primo.hosted.exlibrisgroup.com/primo-explore/search?tab=default_tab&amp;search_scope=EVERYTHING&amp;vid=01CRU&amp;lang=en_US&amp;offset=0&amp;query=any,contains,991003374519702656","Catalog Record")</f>
        <v/>
      </c>
      <c r="AT331">
        <f>HYPERLINK("http://www.worldcat.org/oclc/911246","WorldCat Record")</f>
        <v/>
      </c>
      <c r="AU331" t="inlineStr">
        <is>
          <t>4241269352:eng</t>
        </is>
      </c>
      <c r="AV331" t="inlineStr">
        <is>
          <t>911246</t>
        </is>
      </c>
      <c r="AW331" t="inlineStr">
        <is>
          <t>991003374519702656</t>
        </is>
      </c>
      <c r="AX331" t="inlineStr">
        <is>
          <t>991003374519702656</t>
        </is>
      </c>
      <c r="AY331" t="inlineStr">
        <is>
          <t>2266528690002656</t>
        </is>
      </c>
      <c r="AZ331" t="inlineStr">
        <is>
          <t>BOOK</t>
        </is>
      </c>
      <c r="BC331" t="inlineStr">
        <is>
          <t>32285002861614</t>
        </is>
      </c>
      <c r="BD331" t="inlineStr">
        <is>
          <t>893868369</t>
        </is>
      </c>
    </row>
    <row r="332">
      <c r="A332" t="inlineStr">
        <is>
          <t>No</t>
        </is>
      </c>
      <c r="B332" t="inlineStr">
        <is>
          <t>NA967 .M83</t>
        </is>
      </c>
      <c r="C332" t="inlineStr">
        <is>
          <t>0                      NA 0967000M  83</t>
        </is>
      </c>
      <c r="D332" t="inlineStr">
        <is>
          <t>The High Victorian movement in architecture, 1850-1870.</t>
        </is>
      </c>
      <c r="F332" t="inlineStr">
        <is>
          <t>No</t>
        </is>
      </c>
      <c r="G332" t="inlineStr">
        <is>
          <t>1</t>
        </is>
      </c>
      <c r="H332" t="inlineStr">
        <is>
          <t>No</t>
        </is>
      </c>
      <c r="I332" t="inlineStr">
        <is>
          <t>No</t>
        </is>
      </c>
      <c r="J332" t="inlineStr">
        <is>
          <t>0</t>
        </is>
      </c>
      <c r="K332" t="inlineStr">
        <is>
          <t>Muthesius, Stefan.</t>
        </is>
      </c>
      <c r="L332" t="inlineStr">
        <is>
          <t>London, Boston, Routledge &amp; K. Paul, 1972.</t>
        </is>
      </c>
      <c r="M332" t="inlineStr">
        <is>
          <t>1972</t>
        </is>
      </c>
      <c r="O332" t="inlineStr">
        <is>
          <t>eng</t>
        </is>
      </c>
      <c r="P332" t="inlineStr">
        <is>
          <t>enk</t>
        </is>
      </c>
      <c r="R332" t="inlineStr">
        <is>
          <t xml:space="preserve">NA </t>
        </is>
      </c>
      <c r="S332" t="n">
        <v>3</v>
      </c>
      <c r="T332" t="n">
        <v>3</v>
      </c>
      <c r="U332" t="inlineStr">
        <is>
          <t>2008-10-17</t>
        </is>
      </c>
      <c r="V332" t="inlineStr">
        <is>
          <t>2008-10-17</t>
        </is>
      </c>
      <c r="W332" t="inlineStr">
        <is>
          <t>1997-07-01</t>
        </is>
      </c>
      <c r="X332" t="inlineStr">
        <is>
          <t>1997-07-01</t>
        </is>
      </c>
      <c r="Y332" t="n">
        <v>662</v>
      </c>
      <c r="Z332" t="n">
        <v>455</v>
      </c>
      <c r="AA332" t="n">
        <v>460</v>
      </c>
      <c r="AB332" t="n">
        <v>3</v>
      </c>
      <c r="AC332" t="n">
        <v>3</v>
      </c>
      <c r="AD332" t="n">
        <v>14</v>
      </c>
      <c r="AE332" t="n">
        <v>14</v>
      </c>
      <c r="AF332" t="n">
        <v>3</v>
      </c>
      <c r="AG332" t="n">
        <v>3</v>
      </c>
      <c r="AH332" t="n">
        <v>5</v>
      </c>
      <c r="AI332" t="n">
        <v>5</v>
      </c>
      <c r="AJ332" t="n">
        <v>6</v>
      </c>
      <c r="AK332" t="n">
        <v>6</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HYPERLINK("https://creighton-primo.hosted.exlibrisgroup.com/primo-explore/search?tab=default_tab&amp;search_scope=EVERYTHING&amp;vid=01CRU&amp;lang=en_US&amp;offset=0&amp;query=any,contains,991002849909702656","Catalog Record")</f>
        <v/>
      </c>
      <c r="AT332">
        <f>HYPERLINK("http://www.worldcat.org/oclc/486175","WorldCat Record")</f>
        <v/>
      </c>
      <c r="AU332" t="inlineStr">
        <is>
          <t>1570891:eng</t>
        </is>
      </c>
      <c r="AV332" t="inlineStr">
        <is>
          <t>486175</t>
        </is>
      </c>
      <c r="AW332" t="inlineStr">
        <is>
          <t>991002849909702656</t>
        </is>
      </c>
      <c r="AX332" t="inlineStr">
        <is>
          <t>991002849909702656</t>
        </is>
      </c>
      <c r="AY332" t="inlineStr">
        <is>
          <t>2256663320002656</t>
        </is>
      </c>
      <c r="AZ332" t="inlineStr">
        <is>
          <t>BOOK</t>
        </is>
      </c>
      <c r="BB332" t="inlineStr">
        <is>
          <t>9780710070715</t>
        </is>
      </c>
      <c r="BC332" t="inlineStr">
        <is>
          <t>32285002861630</t>
        </is>
      </c>
      <c r="BD332" t="inlineStr">
        <is>
          <t>893323460</t>
        </is>
      </c>
    </row>
    <row r="333">
      <c r="A333" t="inlineStr">
        <is>
          <t>No</t>
        </is>
      </c>
      <c r="B333" t="inlineStr">
        <is>
          <t>NA970 .J6 1992</t>
        </is>
      </c>
      <c r="C333" t="inlineStr">
        <is>
          <t>0                      NA 0970000J  6           1992</t>
        </is>
      </c>
      <c r="D333" t="inlineStr">
        <is>
          <t>A guide to the architecture of London / Edward Jones &amp; Christopher Woodward.</t>
        </is>
      </c>
      <c r="F333" t="inlineStr">
        <is>
          <t>No</t>
        </is>
      </c>
      <c r="G333" t="inlineStr">
        <is>
          <t>1</t>
        </is>
      </c>
      <c r="H333" t="inlineStr">
        <is>
          <t>No</t>
        </is>
      </c>
      <c r="I333" t="inlineStr">
        <is>
          <t>No</t>
        </is>
      </c>
      <c r="J333" t="inlineStr">
        <is>
          <t>0</t>
        </is>
      </c>
      <c r="K333" t="inlineStr">
        <is>
          <t>Jones, Edward, 1939-</t>
        </is>
      </c>
      <c r="L333" t="inlineStr">
        <is>
          <t>New York : Thames and Hudson, 1992.</t>
        </is>
      </c>
      <c r="M333" t="inlineStr">
        <is>
          <t>1992</t>
        </is>
      </c>
      <c r="N333" t="inlineStr">
        <is>
          <t>New ed., 2nd ed.</t>
        </is>
      </c>
      <c r="O333" t="inlineStr">
        <is>
          <t>eng</t>
        </is>
      </c>
      <c r="P333" t="inlineStr">
        <is>
          <t>nyu</t>
        </is>
      </c>
      <c r="R333" t="inlineStr">
        <is>
          <t xml:space="preserve">NA </t>
        </is>
      </c>
      <c r="S333" t="n">
        <v>2</v>
      </c>
      <c r="T333" t="n">
        <v>2</v>
      </c>
      <c r="U333" t="inlineStr">
        <is>
          <t>2010-07-20</t>
        </is>
      </c>
      <c r="V333" t="inlineStr">
        <is>
          <t>2010-07-20</t>
        </is>
      </c>
      <c r="W333" t="inlineStr">
        <is>
          <t>2004-12-14</t>
        </is>
      </c>
      <c r="X333" t="inlineStr">
        <is>
          <t>2004-12-14</t>
        </is>
      </c>
      <c r="Y333" t="n">
        <v>108</v>
      </c>
      <c r="Z333" t="n">
        <v>96</v>
      </c>
      <c r="AA333" t="n">
        <v>520</v>
      </c>
      <c r="AB333" t="n">
        <v>2</v>
      </c>
      <c r="AC333" t="n">
        <v>4</v>
      </c>
      <c r="AD333" t="n">
        <v>1</v>
      </c>
      <c r="AE333" t="n">
        <v>11</v>
      </c>
      <c r="AF333" t="n">
        <v>0</v>
      </c>
      <c r="AG333" t="n">
        <v>2</v>
      </c>
      <c r="AH333" t="n">
        <v>0</v>
      </c>
      <c r="AI333" t="n">
        <v>3</v>
      </c>
      <c r="AJ333" t="n">
        <v>0</v>
      </c>
      <c r="AK333" t="n">
        <v>5</v>
      </c>
      <c r="AL333" t="n">
        <v>1</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HYPERLINK("https://creighton-primo.hosted.exlibrisgroup.com/primo-explore/search?tab=default_tab&amp;search_scope=EVERYTHING&amp;vid=01CRU&amp;lang=en_US&amp;offset=0&amp;query=any,contains,991004437909702656","Catalog Record")</f>
        <v/>
      </c>
      <c r="AT333">
        <f>HYPERLINK("http://www.worldcat.org/oclc/25322074","WorldCat Record")</f>
        <v/>
      </c>
      <c r="AU333" t="inlineStr">
        <is>
          <t>481809:eng</t>
        </is>
      </c>
      <c r="AV333" t="inlineStr">
        <is>
          <t>25322074</t>
        </is>
      </c>
      <c r="AW333" t="inlineStr">
        <is>
          <t>991004437909702656</t>
        </is>
      </c>
      <c r="AX333" t="inlineStr">
        <is>
          <t>991004437909702656</t>
        </is>
      </c>
      <c r="AY333" t="inlineStr">
        <is>
          <t>2271522600002656</t>
        </is>
      </c>
      <c r="AZ333" t="inlineStr">
        <is>
          <t>BOOK</t>
        </is>
      </c>
      <c r="BB333" t="inlineStr">
        <is>
          <t>9780500276433</t>
        </is>
      </c>
      <c r="BC333" t="inlineStr">
        <is>
          <t>32285005011969</t>
        </is>
      </c>
      <c r="BD333" t="inlineStr">
        <is>
          <t>893869717</t>
        </is>
      </c>
    </row>
    <row r="334">
      <c r="A334" t="inlineStr">
        <is>
          <t>No</t>
        </is>
      </c>
      <c r="B334" t="inlineStr">
        <is>
          <t>NA970 .M47 1972</t>
        </is>
      </c>
      <c r="C334" t="inlineStr">
        <is>
          <t>0                      NA 0970000M  47          1972</t>
        </is>
      </c>
      <c r="D334" t="inlineStr">
        <is>
          <t>Victorian London.</t>
        </is>
      </c>
      <c r="F334" t="inlineStr">
        <is>
          <t>No</t>
        </is>
      </c>
      <c r="G334" t="inlineStr">
        <is>
          <t>1</t>
        </is>
      </c>
      <c r="H334" t="inlineStr">
        <is>
          <t>No</t>
        </is>
      </c>
      <c r="I334" t="inlineStr">
        <is>
          <t>No</t>
        </is>
      </c>
      <c r="J334" t="inlineStr">
        <is>
          <t>0</t>
        </is>
      </c>
      <c r="K334" t="inlineStr">
        <is>
          <t>Metcalf, Priscilla.</t>
        </is>
      </c>
      <c r="L334" t="inlineStr">
        <is>
          <t>London, Cassell, 1972.</t>
        </is>
      </c>
      <c r="M334" t="inlineStr">
        <is>
          <t>1972</t>
        </is>
      </c>
      <c r="O334" t="inlineStr">
        <is>
          <t>eng</t>
        </is>
      </c>
      <c r="P334" t="inlineStr">
        <is>
          <t>enk</t>
        </is>
      </c>
      <c r="R334" t="inlineStr">
        <is>
          <t xml:space="preserve">NA </t>
        </is>
      </c>
      <c r="S334" t="n">
        <v>7</v>
      </c>
      <c r="T334" t="n">
        <v>7</v>
      </c>
      <c r="U334" t="inlineStr">
        <is>
          <t>1999-04-29</t>
        </is>
      </c>
      <c r="V334" t="inlineStr">
        <is>
          <t>1999-04-29</t>
        </is>
      </c>
      <c r="W334" t="inlineStr">
        <is>
          <t>1997-07-07</t>
        </is>
      </c>
      <c r="X334" t="inlineStr">
        <is>
          <t>1997-07-07</t>
        </is>
      </c>
      <c r="Y334" t="n">
        <v>165</v>
      </c>
      <c r="Z334" t="n">
        <v>47</v>
      </c>
      <c r="AA334" t="n">
        <v>499</v>
      </c>
      <c r="AB334" t="n">
        <v>1</v>
      </c>
      <c r="AC334" t="n">
        <v>2</v>
      </c>
      <c r="AD334" t="n">
        <v>2</v>
      </c>
      <c r="AE334" t="n">
        <v>17</v>
      </c>
      <c r="AF334" t="n">
        <v>1</v>
      </c>
      <c r="AG334" t="n">
        <v>8</v>
      </c>
      <c r="AH334" t="n">
        <v>0</v>
      </c>
      <c r="AI334" t="n">
        <v>3</v>
      </c>
      <c r="AJ334" t="n">
        <v>2</v>
      </c>
      <c r="AK334" t="n">
        <v>10</v>
      </c>
      <c r="AL334" t="n">
        <v>0</v>
      </c>
      <c r="AM334" t="n">
        <v>1</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HYPERLINK("https://creighton-primo.hosted.exlibrisgroup.com/primo-explore/search?tab=default_tab&amp;search_scope=EVERYTHING&amp;vid=01CRU&amp;lang=en_US&amp;offset=0&amp;query=any,contains,991003211629702656","Catalog Record")</f>
        <v/>
      </c>
      <c r="AT334">
        <f>HYPERLINK("http://www.worldcat.org/oclc/737355","WorldCat Record")</f>
        <v/>
      </c>
      <c r="AU334" t="inlineStr">
        <is>
          <t>1582967:eng</t>
        </is>
      </c>
      <c r="AV334" t="inlineStr">
        <is>
          <t>737355</t>
        </is>
      </c>
      <c r="AW334" t="inlineStr">
        <is>
          <t>991003211629702656</t>
        </is>
      </c>
      <c r="AX334" t="inlineStr">
        <is>
          <t>991003211629702656</t>
        </is>
      </c>
      <c r="AY334" t="inlineStr">
        <is>
          <t>2256626020002656</t>
        </is>
      </c>
      <c r="AZ334" t="inlineStr">
        <is>
          <t>BOOK</t>
        </is>
      </c>
      <c r="BB334" t="inlineStr">
        <is>
          <t>9780304290499</t>
        </is>
      </c>
      <c r="BC334" t="inlineStr">
        <is>
          <t>32285002861648</t>
        </is>
      </c>
      <c r="BD334" t="inlineStr">
        <is>
          <t>893323873</t>
        </is>
      </c>
    </row>
    <row r="335">
      <c r="A335" t="inlineStr">
        <is>
          <t>No</t>
        </is>
      </c>
      <c r="B335" t="inlineStr">
        <is>
          <t>NA970 .O47 1986</t>
        </is>
      </c>
      <c r="C335" t="inlineStr">
        <is>
          <t>0                      NA 0970000O  47          1986</t>
        </is>
      </c>
      <c r="D335" t="inlineStr">
        <is>
          <t>The city as a work of art : London, Paris, Vienna / Donald J. Olsen.</t>
        </is>
      </c>
      <c r="F335" t="inlineStr">
        <is>
          <t>No</t>
        </is>
      </c>
      <c r="G335" t="inlineStr">
        <is>
          <t>1</t>
        </is>
      </c>
      <c r="H335" t="inlineStr">
        <is>
          <t>No</t>
        </is>
      </c>
      <c r="I335" t="inlineStr">
        <is>
          <t>No</t>
        </is>
      </c>
      <c r="J335" t="inlineStr">
        <is>
          <t>0</t>
        </is>
      </c>
      <c r="K335" t="inlineStr">
        <is>
          <t>Olsen, Donald J.</t>
        </is>
      </c>
      <c r="L335" t="inlineStr">
        <is>
          <t>New Haven : Yale University Press, c1986.</t>
        </is>
      </c>
      <c r="M335" t="inlineStr">
        <is>
          <t>1986</t>
        </is>
      </c>
      <c r="O335" t="inlineStr">
        <is>
          <t>eng</t>
        </is>
      </c>
      <c r="P335" t="inlineStr">
        <is>
          <t>ctu</t>
        </is>
      </c>
      <c r="R335" t="inlineStr">
        <is>
          <t xml:space="preserve">NA </t>
        </is>
      </c>
      <c r="S335" t="n">
        <v>7</v>
      </c>
      <c r="T335" t="n">
        <v>7</v>
      </c>
      <c r="U335" t="inlineStr">
        <is>
          <t>2005-03-14</t>
        </is>
      </c>
      <c r="V335" t="inlineStr">
        <is>
          <t>2005-03-14</t>
        </is>
      </c>
      <c r="W335" t="inlineStr">
        <is>
          <t>1990-08-08</t>
        </is>
      </c>
      <c r="X335" t="inlineStr">
        <is>
          <t>1990-08-08</t>
        </is>
      </c>
      <c r="Y335" t="n">
        <v>1237</v>
      </c>
      <c r="Z335" t="n">
        <v>972</v>
      </c>
      <c r="AA335" t="n">
        <v>1098</v>
      </c>
      <c r="AB335" t="n">
        <v>3</v>
      </c>
      <c r="AC335" t="n">
        <v>3</v>
      </c>
      <c r="AD335" t="n">
        <v>31</v>
      </c>
      <c r="AE335" t="n">
        <v>37</v>
      </c>
      <c r="AF335" t="n">
        <v>13</v>
      </c>
      <c r="AG335" t="n">
        <v>17</v>
      </c>
      <c r="AH335" t="n">
        <v>8</v>
      </c>
      <c r="AI335" t="n">
        <v>10</v>
      </c>
      <c r="AJ335" t="n">
        <v>17</v>
      </c>
      <c r="AK335" t="n">
        <v>19</v>
      </c>
      <c r="AL335" t="n">
        <v>2</v>
      </c>
      <c r="AM335" t="n">
        <v>2</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HYPERLINK("https://creighton-primo.hosted.exlibrisgroup.com/primo-explore/search?tab=default_tab&amp;search_scope=EVERYTHING&amp;vid=01CRU&amp;lang=en_US&amp;offset=0&amp;query=any,contains,991005405919702656","Catalog Record")</f>
        <v/>
      </c>
      <c r="AT335">
        <f>HYPERLINK("http://www.worldcat.org/oclc/12808804","WorldCat Record")</f>
        <v/>
      </c>
      <c r="AU335" t="inlineStr">
        <is>
          <t>7313081:eng</t>
        </is>
      </c>
      <c r="AV335" t="inlineStr">
        <is>
          <t>12808804</t>
        </is>
      </c>
      <c r="AW335" t="inlineStr">
        <is>
          <t>991005405919702656</t>
        </is>
      </c>
      <c r="AX335" t="inlineStr">
        <is>
          <t>991005405919702656</t>
        </is>
      </c>
      <c r="AY335" t="inlineStr">
        <is>
          <t>2259370770002656</t>
        </is>
      </c>
      <c r="AZ335" t="inlineStr">
        <is>
          <t>BOOK</t>
        </is>
      </c>
      <c r="BB335" t="inlineStr">
        <is>
          <t>9780300028706</t>
        </is>
      </c>
      <c r="BC335" t="inlineStr">
        <is>
          <t>32285000270966</t>
        </is>
      </c>
      <c r="BD335" t="inlineStr">
        <is>
          <t>893501976</t>
        </is>
      </c>
    </row>
    <row r="336">
      <c r="A336" t="inlineStr">
        <is>
          <t>No</t>
        </is>
      </c>
      <c r="B336" t="inlineStr">
        <is>
          <t>NA988 .E17 1978</t>
        </is>
      </c>
      <c r="C336" t="inlineStr">
        <is>
          <t>0                      NA 0988000E  17          1978</t>
        </is>
      </c>
      <c r="D336" t="inlineStr">
        <is>
          <t>A history of the Gothic revival / [by] Charles L. Eastlake ; edited with an introduction by J. Mordaunt Crook.</t>
        </is>
      </c>
      <c r="F336" t="inlineStr">
        <is>
          <t>No</t>
        </is>
      </c>
      <c r="G336" t="inlineStr">
        <is>
          <t>1</t>
        </is>
      </c>
      <c r="H336" t="inlineStr">
        <is>
          <t>No</t>
        </is>
      </c>
      <c r="I336" t="inlineStr">
        <is>
          <t>No</t>
        </is>
      </c>
      <c r="J336" t="inlineStr">
        <is>
          <t>0</t>
        </is>
      </c>
      <c r="K336" t="inlineStr">
        <is>
          <t>Eastlake, Charles L. (Charles Locke), 1836-1906.</t>
        </is>
      </c>
      <c r="L336" t="inlineStr">
        <is>
          <t>Leicester : Leicester University Press ; New York : Humanities Press, 1978.</t>
        </is>
      </c>
      <c r="M336" t="inlineStr">
        <is>
          <t>1978</t>
        </is>
      </c>
      <c r="N336" t="inlineStr">
        <is>
          <t>[2d ed.]</t>
        </is>
      </c>
      <c r="O336" t="inlineStr">
        <is>
          <t>eng</t>
        </is>
      </c>
      <c r="P336" t="inlineStr">
        <is>
          <t xml:space="preserve">en </t>
        </is>
      </c>
      <c r="Q336" t="inlineStr">
        <is>
          <t>The Victorian library.</t>
        </is>
      </c>
      <c r="R336" t="inlineStr">
        <is>
          <t xml:space="preserve">NA </t>
        </is>
      </c>
      <c r="S336" t="n">
        <v>6</v>
      </c>
      <c r="T336" t="n">
        <v>6</v>
      </c>
      <c r="U336" t="inlineStr">
        <is>
          <t>1999-02-20</t>
        </is>
      </c>
      <c r="V336" t="inlineStr">
        <is>
          <t>1999-02-20</t>
        </is>
      </c>
      <c r="W336" t="inlineStr">
        <is>
          <t>1993-05-13</t>
        </is>
      </c>
      <c r="X336" t="inlineStr">
        <is>
          <t>1993-05-13</t>
        </is>
      </c>
      <c r="Y336" t="n">
        <v>36</v>
      </c>
      <c r="Z336" t="n">
        <v>6</v>
      </c>
      <c r="AA336" t="n">
        <v>519</v>
      </c>
      <c r="AB336" t="n">
        <v>1</v>
      </c>
      <c r="AC336" t="n">
        <v>3</v>
      </c>
      <c r="AD336" t="n">
        <v>0</v>
      </c>
      <c r="AE336" t="n">
        <v>15</v>
      </c>
      <c r="AF336" t="n">
        <v>0</v>
      </c>
      <c r="AG336" t="n">
        <v>4</v>
      </c>
      <c r="AH336" t="n">
        <v>0</v>
      </c>
      <c r="AI336" t="n">
        <v>3</v>
      </c>
      <c r="AJ336" t="n">
        <v>0</v>
      </c>
      <c r="AK336" t="n">
        <v>7</v>
      </c>
      <c r="AL336" t="n">
        <v>0</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HYPERLINK("https://creighton-primo.hosted.exlibrisgroup.com/primo-explore/search?tab=default_tab&amp;search_scope=EVERYTHING&amp;vid=01CRU&amp;lang=en_US&amp;offset=0&amp;query=any,contains,991004707779702656","Catalog Record")</f>
        <v/>
      </c>
      <c r="AT336">
        <f>HYPERLINK("http://www.worldcat.org/oclc/4731021","WorldCat Record")</f>
        <v/>
      </c>
      <c r="AU336" t="inlineStr">
        <is>
          <t>1166630:eng</t>
        </is>
      </c>
      <c r="AV336" t="inlineStr">
        <is>
          <t>4731021</t>
        </is>
      </c>
      <c r="AW336" t="inlineStr">
        <is>
          <t>991004707779702656</t>
        </is>
      </c>
      <c r="AX336" t="inlineStr">
        <is>
          <t>991004707779702656</t>
        </is>
      </c>
      <c r="AY336" t="inlineStr">
        <is>
          <t>2263199040002656</t>
        </is>
      </c>
      <c r="AZ336" t="inlineStr">
        <is>
          <t>BOOK</t>
        </is>
      </c>
      <c r="BB336" t="inlineStr">
        <is>
          <t>9780718550332</t>
        </is>
      </c>
      <c r="BC336" t="inlineStr">
        <is>
          <t>32285001654705</t>
        </is>
      </c>
      <c r="BD336" t="inlineStr">
        <is>
          <t>893247882</t>
        </is>
      </c>
    </row>
    <row r="337">
      <c r="A337" t="inlineStr">
        <is>
          <t>No</t>
        </is>
      </c>
      <c r="B337" t="inlineStr">
        <is>
          <t>NA997.H3 D6 1980</t>
        </is>
      </c>
      <c r="C337" t="inlineStr">
        <is>
          <t>0                      NA 0997000H  3                  D  6           1980</t>
        </is>
      </c>
      <c r="D337" t="inlineStr">
        <is>
          <t>Hawksmoor / Kerry Downes.</t>
        </is>
      </c>
      <c r="F337" t="inlineStr">
        <is>
          <t>No</t>
        </is>
      </c>
      <c r="G337" t="inlineStr">
        <is>
          <t>1</t>
        </is>
      </c>
      <c r="H337" t="inlineStr">
        <is>
          <t>No</t>
        </is>
      </c>
      <c r="I337" t="inlineStr">
        <is>
          <t>No</t>
        </is>
      </c>
      <c r="J337" t="inlineStr">
        <is>
          <t>0</t>
        </is>
      </c>
      <c r="K337" t="inlineStr">
        <is>
          <t>Downes, Kerry.</t>
        </is>
      </c>
      <c r="L337" t="inlineStr">
        <is>
          <t>Cambridge, Mass. : MIT Press, 1980, c1979.</t>
        </is>
      </c>
      <c r="M337" t="inlineStr">
        <is>
          <t>1980</t>
        </is>
      </c>
      <c r="N337" t="inlineStr">
        <is>
          <t>2d ed., 1st MIT Press ed.</t>
        </is>
      </c>
      <c r="O337" t="inlineStr">
        <is>
          <t>eng</t>
        </is>
      </c>
      <c r="P337" t="inlineStr">
        <is>
          <t>mau</t>
        </is>
      </c>
      <c r="R337" t="inlineStr">
        <is>
          <t xml:space="preserve">NA </t>
        </is>
      </c>
      <c r="S337" t="n">
        <v>1</v>
      </c>
      <c r="T337" t="n">
        <v>1</v>
      </c>
      <c r="U337" t="inlineStr">
        <is>
          <t>2008-06-30</t>
        </is>
      </c>
      <c r="V337" t="inlineStr">
        <is>
          <t>2008-06-30</t>
        </is>
      </c>
      <c r="W337" t="inlineStr">
        <is>
          <t>2008-06-30</t>
        </is>
      </c>
      <c r="X337" t="inlineStr">
        <is>
          <t>2008-06-30</t>
        </is>
      </c>
      <c r="Y337" t="n">
        <v>214</v>
      </c>
      <c r="Z337" t="n">
        <v>191</v>
      </c>
      <c r="AA337" t="n">
        <v>195</v>
      </c>
      <c r="AB337" t="n">
        <v>2</v>
      </c>
      <c r="AC337" t="n">
        <v>2</v>
      </c>
      <c r="AD337" t="n">
        <v>9</v>
      </c>
      <c r="AE337" t="n">
        <v>9</v>
      </c>
      <c r="AF337" t="n">
        <v>2</v>
      </c>
      <c r="AG337" t="n">
        <v>2</v>
      </c>
      <c r="AH337" t="n">
        <v>3</v>
      </c>
      <c r="AI337" t="n">
        <v>3</v>
      </c>
      <c r="AJ337" t="n">
        <v>4</v>
      </c>
      <c r="AK337" t="n">
        <v>4</v>
      </c>
      <c r="AL337" t="n">
        <v>1</v>
      </c>
      <c r="AM337" t="n">
        <v>1</v>
      </c>
      <c r="AN337" t="n">
        <v>0</v>
      </c>
      <c r="AO337" t="n">
        <v>0</v>
      </c>
      <c r="AP337" t="inlineStr">
        <is>
          <t>No</t>
        </is>
      </c>
      <c r="AQ337" t="inlineStr">
        <is>
          <t>Yes</t>
        </is>
      </c>
      <c r="AR337">
        <f>HYPERLINK("http://catalog.hathitrust.org/Record/000221629","HathiTrust Record")</f>
        <v/>
      </c>
      <c r="AS337">
        <f>HYPERLINK("https://creighton-primo.hosted.exlibrisgroup.com/primo-explore/search?tab=default_tab&amp;search_scope=EVERYTHING&amp;vid=01CRU&amp;lang=en_US&amp;offset=0&amp;query=any,contains,991005239519702656","Catalog Record")</f>
        <v/>
      </c>
      <c r="AT337">
        <f>HYPERLINK("http://www.worldcat.org/oclc/6772665","WorldCat Record")</f>
        <v/>
      </c>
      <c r="AU337" t="inlineStr">
        <is>
          <t>9477125516:eng</t>
        </is>
      </c>
      <c r="AV337" t="inlineStr">
        <is>
          <t>6772665</t>
        </is>
      </c>
      <c r="AW337" t="inlineStr">
        <is>
          <t>991005239519702656</t>
        </is>
      </c>
      <c r="AX337" t="inlineStr">
        <is>
          <t>991005239519702656</t>
        </is>
      </c>
      <c r="AY337" t="inlineStr">
        <is>
          <t>2263317230002656</t>
        </is>
      </c>
      <c r="AZ337" t="inlineStr">
        <is>
          <t>BOOK</t>
        </is>
      </c>
      <c r="BB337" t="inlineStr">
        <is>
          <t>9780262040600</t>
        </is>
      </c>
      <c r="BC337" t="inlineStr">
        <is>
          <t>32285005447320</t>
        </is>
      </c>
      <c r="BD337" t="inlineStr">
        <is>
          <t>893883567</t>
        </is>
      </c>
    </row>
    <row r="338">
      <c r="A338" t="inlineStr">
        <is>
          <t>No</t>
        </is>
      </c>
      <c r="B338" t="inlineStr">
        <is>
          <t>NA997.S42 K6</t>
        </is>
      </c>
      <c r="C338" t="inlineStr">
        <is>
          <t>0                      NA 0997000S  42                 K  6</t>
        </is>
      </c>
      <c r="D338" t="inlineStr">
        <is>
          <t>M. H. Baillie Scott and the arts and crafts movement : pioneers of modern design / [by] James D. Kornwolf.</t>
        </is>
      </c>
      <c r="F338" t="inlineStr">
        <is>
          <t>No</t>
        </is>
      </c>
      <c r="G338" t="inlineStr">
        <is>
          <t>1</t>
        </is>
      </c>
      <c r="H338" t="inlineStr">
        <is>
          <t>No</t>
        </is>
      </c>
      <c r="I338" t="inlineStr">
        <is>
          <t>No</t>
        </is>
      </c>
      <c r="J338" t="inlineStr">
        <is>
          <t>0</t>
        </is>
      </c>
      <c r="K338" t="inlineStr">
        <is>
          <t>Kornwolf, James D.</t>
        </is>
      </c>
      <c r="L338" t="inlineStr">
        <is>
          <t>Baltimore : Johns Hopkins Press, [1972]</t>
        </is>
      </c>
      <c r="M338" t="inlineStr">
        <is>
          <t>1972</t>
        </is>
      </c>
      <c r="O338" t="inlineStr">
        <is>
          <t>eng</t>
        </is>
      </c>
      <c r="P338" t="inlineStr">
        <is>
          <t>mdu</t>
        </is>
      </c>
      <c r="Q338" t="inlineStr">
        <is>
          <t>The Johns Hopkins studies in nineteenth-century architecture</t>
        </is>
      </c>
      <c r="R338" t="inlineStr">
        <is>
          <t xml:space="preserve">NA </t>
        </is>
      </c>
      <c r="S338" t="n">
        <v>3</v>
      </c>
      <c r="T338" t="n">
        <v>3</v>
      </c>
      <c r="U338" t="inlineStr">
        <is>
          <t>2003-10-31</t>
        </is>
      </c>
      <c r="V338" t="inlineStr">
        <is>
          <t>2003-10-31</t>
        </is>
      </c>
      <c r="W338" t="inlineStr">
        <is>
          <t>1993-05-13</t>
        </is>
      </c>
      <c r="X338" t="inlineStr">
        <is>
          <t>1993-05-13</t>
        </is>
      </c>
      <c r="Y338" t="n">
        <v>534</v>
      </c>
      <c r="Z338" t="n">
        <v>408</v>
      </c>
      <c r="AA338" t="n">
        <v>418</v>
      </c>
      <c r="AB338" t="n">
        <v>3</v>
      </c>
      <c r="AC338" t="n">
        <v>3</v>
      </c>
      <c r="AD338" t="n">
        <v>19</v>
      </c>
      <c r="AE338" t="n">
        <v>19</v>
      </c>
      <c r="AF338" t="n">
        <v>7</v>
      </c>
      <c r="AG338" t="n">
        <v>7</v>
      </c>
      <c r="AH338" t="n">
        <v>4</v>
      </c>
      <c r="AI338" t="n">
        <v>4</v>
      </c>
      <c r="AJ338" t="n">
        <v>10</v>
      </c>
      <c r="AK338" t="n">
        <v>10</v>
      </c>
      <c r="AL338" t="n">
        <v>2</v>
      </c>
      <c r="AM338" t="n">
        <v>2</v>
      </c>
      <c r="AN338" t="n">
        <v>0</v>
      </c>
      <c r="AO338" t="n">
        <v>0</v>
      </c>
      <c r="AP338" t="inlineStr">
        <is>
          <t>No</t>
        </is>
      </c>
      <c r="AQ338" t="inlineStr">
        <is>
          <t>Yes</t>
        </is>
      </c>
      <c r="AR338">
        <f>HYPERLINK("http://catalog.hathitrust.org/Record/000453466","HathiTrust Record")</f>
        <v/>
      </c>
      <c r="AS338">
        <f>HYPERLINK("https://creighton-primo.hosted.exlibrisgroup.com/primo-explore/search?tab=default_tab&amp;search_scope=EVERYTHING&amp;vid=01CRU&amp;lang=en_US&amp;offset=0&amp;query=any,contains,991002312529702656","Catalog Record")</f>
        <v/>
      </c>
      <c r="AT338">
        <f>HYPERLINK("http://www.worldcat.org/oclc/319838","WorldCat Record")</f>
        <v/>
      </c>
      <c r="AU338" t="inlineStr">
        <is>
          <t>346414229:eng</t>
        </is>
      </c>
      <c r="AV338" t="inlineStr">
        <is>
          <t>319838</t>
        </is>
      </c>
      <c r="AW338" t="inlineStr">
        <is>
          <t>991002312529702656</t>
        </is>
      </c>
      <c r="AX338" t="inlineStr">
        <is>
          <t>991002312529702656</t>
        </is>
      </c>
      <c r="AY338" t="inlineStr">
        <is>
          <t>2268437180002656</t>
        </is>
      </c>
      <c r="AZ338" t="inlineStr">
        <is>
          <t>BOOK</t>
        </is>
      </c>
      <c r="BB338" t="inlineStr">
        <is>
          <t>9780801811128</t>
        </is>
      </c>
      <c r="BC338" t="inlineStr">
        <is>
          <t>32285001654721</t>
        </is>
      </c>
      <c r="BD338" t="inlineStr">
        <is>
          <t>893328927</t>
        </is>
      </c>
    </row>
    <row r="339">
      <c r="A339" t="inlineStr">
        <is>
          <t>No</t>
        </is>
      </c>
      <c r="B339" t="inlineStr">
        <is>
          <t>NA997.W8 B7</t>
        </is>
      </c>
      <c r="C339" t="inlineStr">
        <is>
          <t>0                      NA 0997000W  8                  B  7</t>
        </is>
      </c>
      <c r="D339" t="inlineStr">
        <is>
          <t>Wren, the incomparable.</t>
        </is>
      </c>
      <c r="F339" t="inlineStr">
        <is>
          <t>No</t>
        </is>
      </c>
      <c r="G339" t="inlineStr">
        <is>
          <t>1</t>
        </is>
      </c>
      <c r="H339" t="inlineStr">
        <is>
          <t>No</t>
        </is>
      </c>
      <c r="I339" t="inlineStr">
        <is>
          <t>No</t>
        </is>
      </c>
      <c r="J339" t="inlineStr">
        <is>
          <t>0</t>
        </is>
      </c>
      <c r="K339" t="inlineStr">
        <is>
          <t>Briggs, Martin S. (Martin Shaw), 1882-1977.</t>
        </is>
      </c>
      <c r="L339" t="inlineStr">
        <is>
          <t>London, Allen &amp; Unwin [1953]</t>
        </is>
      </c>
      <c r="M339" t="inlineStr">
        <is>
          <t>1953</t>
        </is>
      </c>
      <c r="O339" t="inlineStr">
        <is>
          <t>eng</t>
        </is>
      </c>
      <c r="P339" t="inlineStr">
        <is>
          <t>enk</t>
        </is>
      </c>
      <c r="R339" t="inlineStr">
        <is>
          <t xml:space="preserve">NA </t>
        </is>
      </c>
      <c r="S339" t="n">
        <v>1</v>
      </c>
      <c r="T339" t="n">
        <v>1</v>
      </c>
      <c r="U339" t="inlineStr">
        <is>
          <t>2003-03-03</t>
        </is>
      </c>
      <c r="V339" t="inlineStr">
        <is>
          <t>2003-03-03</t>
        </is>
      </c>
      <c r="W339" t="inlineStr">
        <is>
          <t>1997-07-01</t>
        </is>
      </c>
      <c r="X339" t="inlineStr">
        <is>
          <t>1997-07-01</t>
        </is>
      </c>
      <c r="Y339" t="n">
        <v>454</v>
      </c>
      <c r="Z339" t="n">
        <v>352</v>
      </c>
      <c r="AA339" t="n">
        <v>354</v>
      </c>
      <c r="AB339" t="n">
        <v>2</v>
      </c>
      <c r="AC339" t="n">
        <v>2</v>
      </c>
      <c r="AD339" t="n">
        <v>10</v>
      </c>
      <c r="AE339" t="n">
        <v>10</v>
      </c>
      <c r="AF339" t="n">
        <v>5</v>
      </c>
      <c r="AG339" t="n">
        <v>5</v>
      </c>
      <c r="AH339" t="n">
        <v>1</v>
      </c>
      <c r="AI339" t="n">
        <v>1</v>
      </c>
      <c r="AJ339" t="n">
        <v>3</v>
      </c>
      <c r="AK339" t="n">
        <v>3</v>
      </c>
      <c r="AL339" t="n">
        <v>1</v>
      </c>
      <c r="AM339" t="n">
        <v>1</v>
      </c>
      <c r="AN339" t="n">
        <v>0</v>
      </c>
      <c r="AO339" t="n">
        <v>0</v>
      </c>
      <c r="AP339" t="inlineStr">
        <is>
          <t>No</t>
        </is>
      </c>
      <c r="AQ339" t="inlineStr">
        <is>
          <t>Yes</t>
        </is>
      </c>
      <c r="AR339">
        <f>HYPERLINK("http://catalog.hathitrust.org/Record/000453410","HathiTrust Record")</f>
        <v/>
      </c>
      <c r="AS339">
        <f>HYPERLINK("https://creighton-primo.hosted.exlibrisgroup.com/primo-explore/search?tab=default_tab&amp;search_scope=EVERYTHING&amp;vid=01CRU&amp;lang=en_US&amp;offset=0&amp;query=any,contains,991003772489702656","Catalog Record")</f>
        <v/>
      </c>
      <c r="AT339">
        <f>HYPERLINK("http://www.worldcat.org/oclc/1474449","WorldCat Record")</f>
        <v/>
      </c>
      <c r="AU339" t="inlineStr">
        <is>
          <t>133047289:eng</t>
        </is>
      </c>
      <c r="AV339" t="inlineStr">
        <is>
          <t>1474449</t>
        </is>
      </c>
      <c r="AW339" t="inlineStr">
        <is>
          <t>991003772489702656</t>
        </is>
      </c>
      <c r="AX339" t="inlineStr">
        <is>
          <t>991003772489702656</t>
        </is>
      </c>
      <c r="AY339" t="inlineStr">
        <is>
          <t>2254865280002656</t>
        </is>
      </c>
      <c r="AZ339" t="inlineStr">
        <is>
          <t>BOOK</t>
        </is>
      </c>
      <c r="BC339" t="inlineStr">
        <is>
          <t>32285002861713</t>
        </is>
      </c>
      <c r="BD339" t="inlineStr">
        <is>
          <t>893781392</t>
        </is>
      </c>
    </row>
    <row r="340">
      <c r="A340" t="inlineStr">
        <is>
          <t>No</t>
        </is>
      </c>
      <c r="B340" t="inlineStr">
        <is>
          <t>NA997.W8 J37 2002</t>
        </is>
      </c>
      <c r="C340" t="inlineStr">
        <is>
          <t>0                      NA 0997000W  8                  J  37          2002</t>
        </is>
      </c>
      <c r="D340" t="inlineStr">
        <is>
          <t>On a grander scale : the outstanding life of Sir Christopher Wren / Lisa Jardine.</t>
        </is>
      </c>
      <c r="F340" t="inlineStr">
        <is>
          <t>No</t>
        </is>
      </c>
      <c r="G340" t="inlineStr">
        <is>
          <t>1</t>
        </is>
      </c>
      <c r="H340" t="inlineStr">
        <is>
          <t>No</t>
        </is>
      </c>
      <c r="I340" t="inlineStr">
        <is>
          <t>No</t>
        </is>
      </c>
      <c r="J340" t="inlineStr">
        <is>
          <t>0</t>
        </is>
      </c>
      <c r="K340" t="inlineStr">
        <is>
          <t>Jardine, Lisa.</t>
        </is>
      </c>
      <c r="L340" t="inlineStr">
        <is>
          <t>New York : HarperCollins, c2002.</t>
        </is>
      </c>
      <c r="M340" t="inlineStr">
        <is>
          <t>2002</t>
        </is>
      </c>
      <c r="N340" t="inlineStr">
        <is>
          <t>1st ed.</t>
        </is>
      </c>
      <c r="O340" t="inlineStr">
        <is>
          <t>eng</t>
        </is>
      </c>
      <c r="P340" t="inlineStr">
        <is>
          <t>nyu</t>
        </is>
      </c>
      <c r="R340" t="inlineStr">
        <is>
          <t xml:space="preserve">NA </t>
        </is>
      </c>
      <c r="S340" t="n">
        <v>1</v>
      </c>
      <c r="T340" t="n">
        <v>1</v>
      </c>
      <c r="U340" t="inlineStr">
        <is>
          <t>2003-03-05</t>
        </is>
      </c>
      <c r="V340" t="inlineStr">
        <is>
          <t>2003-03-05</t>
        </is>
      </c>
      <c r="W340" t="inlineStr">
        <is>
          <t>2003-03-05</t>
        </is>
      </c>
      <c r="X340" t="inlineStr">
        <is>
          <t>2003-03-05</t>
        </is>
      </c>
      <c r="Y340" t="n">
        <v>696</v>
      </c>
      <c r="Z340" t="n">
        <v>662</v>
      </c>
      <c r="AA340" t="n">
        <v>761</v>
      </c>
      <c r="AB340" t="n">
        <v>6</v>
      </c>
      <c r="AC340" t="n">
        <v>6</v>
      </c>
      <c r="AD340" t="n">
        <v>21</v>
      </c>
      <c r="AE340" t="n">
        <v>25</v>
      </c>
      <c r="AF340" t="n">
        <v>7</v>
      </c>
      <c r="AG340" t="n">
        <v>10</v>
      </c>
      <c r="AH340" t="n">
        <v>3</v>
      </c>
      <c r="AI340" t="n">
        <v>6</v>
      </c>
      <c r="AJ340" t="n">
        <v>10</v>
      </c>
      <c r="AK340" t="n">
        <v>11</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HYPERLINK("https://creighton-primo.hosted.exlibrisgroup.com/primo-explore/search?tab=default_tab&amp;search_scope=EVERYTHING&amp;vid=01CRU&amp;lang=en_US&amp;offset=0&amp;query=any,contains,991004002029702656","Catalog Record")</f>
        <v/>
      </c>
      <c r="AT340">
        <f>HYPERLINK("http://www.worldcat.org/oclc/50494846","WorldCat Record")</f>
        <v/>
      </c>
      <c r="AU340" t="inlineStr">
        <is>
          <t>890964193:eng</t>
        </is>
      </c>
      <c r="AV340" t="inlineStr">
        <is>
          <t>50494846</t>
        </is>
      </c>
      <c r="AW340" t="inlineStr">
        <is>
          <t>991004002029702656</t>
        </is>
      </c>
      <c r="AX340" t="inlineStr">
        <is>
          <t>991004002029702656</t>
        </is>
      </c>
      <c r="AY340" t="inlineStr">
        <is>
          <t>2269618950002656</t>
        </is>
      </c>
      <c r="AZ340" t="inlineStr">
        <is>
          <t>BOOK</t>
        </is>
      </c>
      <c r="BB340" t="inlineStr">
        <is>
          <t>9780060199746</t>
        </is>
      </c>
      <c r="BC340" t="inlineStr">
        <is>
          <t>32285004682398</t>
        </is>
      </c>
      <c r="BD340" t="inlineStr">
        <is>
          <t>893618098</t>
        </is>
      </c>
    </row>
    <row r="341">
      <c r="A341" t="inlineStr">
        <is>
          <t>No</t>
        </is>
      </c>
      <c r="B341" t="inlineStr">
        <is>
          <t>NA997.W8 M6</t>
        </is>
      </c>
      <c r="C341" t="inlineStr">
        <is>
          <t>0                      NA 0997000W  8                  M  6</t>
        </is>
      </c>
      <c r="D341" t="inlineStr">
        <is>
          <t>Sir Christopher Wren, by Lena Milman.</t>
        </is>
      </c>
      <c r="F341" t="inlineStr">
        <is>
          <t>No</t>
        </is>
      </c>
      <c r="G341" t="inlineStr">
        <is>
          <t>1</t>
        </is>
      </c>
      <c r="H341" t="inlineStr">
        <is>
          <t>No</t>
        </is>
      </c>
      <c r="I341" t="inlineStr">
        <is>
          <t>No</t>
        </is>
      </c>
      <c r="J341" t="inlineStr">
        <is>
          <t>0</t>
        </is>
      </c>
      <c r="K341" t="inlineStr">
        <is>
          <t>Milman, Lena.</t>
        </is>
      </c>
      <c r="L341" t="inlineStr">
        <is>
          <t>London, Duckworth and co.; New York, C. Scribner's sons, 1908.</t>
        </is>
      </c>
      <c r="M341" t="inlineStr">
        <is>
          <t>1908</t>
        </is>
      </c>
      <c r="O341" t="inlineStr">
        <is>
          <t>eng</t>
        </is>
      </c>
      <c r="P341" t="inlineStr">
        <is>
          <t xml:space="preserve">xx </t>
        </is>
      </c>
      <c r="Q341" t="inlineStr">
        <is>
          <t>The library of art</t>
        </is>
      </c>
      <c r="R341" t="inlineStr">
        <is>
          <t xml:space="preserve">NA </t>
        </is>
      </c>
      <c r="S341" t="n">
        <v>2</v>
      </c>
      <c r="T341" t="n">
        <v>2</v>
      </c>
      <c r="U341" t="inlineStr">
        <is>
          <t>2003-05-14</t>
        </is>
      </c>
      <c r="V341" t="inlineStr">
        <is>
          <t>2003-05-14</t>
        </is>
      </c>
      <c r="W341" t="inlineStr">
        <is>
          <t>1997-07-01</t>
        </is>
      </c>
      <c r="X341" t="inlineStr">
        <is>
          <t>1997-07-01</t>
        </is>
      </c>
      <c r="Y341" t="n">
        <v>220</v>
      </c>
      <c r="Z341" t="n">
        <v>166</v>
      </c>
      <c r="AA341" t="n">
        <v>188</v>
      </c>
      <c r="AB341" t="n">
        <v>2</v>
      </c>
      <c r="AC341" t="n">
        <v>2</v>
      </c>
      <c r="AD341" t="n">
        <v>5</v>
      </c>
      <c r="AE341" t="n">
        <v>7</v>
      </c>
      <c r="AF341" t="n">
        <v>1</v>
      </c>
      <c r="AG341" t="n">
        <v>2</v>
      </c>
      <c r="AH341" t="n">
        <v>2</v>
      </c>
      <c r="AI341" t="n">
        <v>3</v>
      </c>
      <c r="AJ341" t="n">
        <v>2</v>
      </c>
      <c r="AK341" t="n">
        <v>2</v>
      </c>
      <c r="AL341" t="n">
        <v>1</v>
      </c>
      <c r="AM341" t="n">
        <v>1</v>
      </c>
      <c r="AN341" t="n">
        <v>0</v>
      </c>
      <c r="AO341" t="n">
        <v>0</v>
      </c>
      <c r="AP341" t="inlineStr">
        <is>
          <t>Yes</t>
        </is>
      </c>
      <c r="AQ341" t="inlineStr">
        <is>
          <t>No</t>
        </is>
      </c>
      <c r="AR341">
        <f>HYPERLINK("http://catalog.hathitrust.org/Record/000453576","HathiTrust Record")</f>
        <v/>
      </c>
      <c r="AS341">
        <f>HYPERLINK("https://creighton-primo.hosted.exlibrisgroup.com/primo-explore/search?tab=default_tab&amp;search_scope=EVERYTHING&amp;vid=01CRU&amp;lang=en_US&amp;offset=0&amp;query=any,contains,991002752959702656","Catalog Record")</f>
        <v/>
      </c>
      <c r="AT341">
        <f>HYPERLINK("http://www.worldcat.org/oclc/425449","WorldCat Record")</f>
        <v/>
      </c>
      <c r="AU341" t="inlineStr">
        <is>
          <t>1517721:eng</t>
        </is>
      </c>
      <c r="AV341" t="inlineStr">
        <is>
          <t>425449</t>
        </is>
      </c>
      <c r="AW341" t="inlineStr">
        <is>
          <t>991002752959702656</t>
        </is>
      </c>
      <c r="AX341" t="inlineStr">
        <is>
          <t>991002752959702656</t>
        </is>
      </c>
      <c r="AY341" t="inlineStr">
        <is>
          <t>2267887950002656</t>
        </is>
      </c>
      <c r="AZ341" t="inlineStr">
        <is>
          <t>BOOK</t>
        </is>
      </c>
      <c r="BC341" t="inlineStr">
        <is>
          <t>32285004676093</t>
        </is>
      </c>
      <c r="BD341" t="inlineStr">
        <is>
          <t>893591726</t>
        </is>
      </c>
    </row>
    <row r="342">
      <c r="A342" t="inlineStr">
        <is>
          <t>No</t>
        </is>
      </c>
      <c r="B342" t="inlineStr">
        <is>
          <t>NA997.W8 S8</t>
        </is>
      </c>
      <c r="C342" t="inlineStr">
        <is>
          <t>0                      NA 0997000W  8                  S  8</t>
        </is>
      </c>
      <c r="D342" t="inlineStr">
        <is>
          <t>Sir Christopher Wren, by John Summerson.</t>
        </is>
      </c>
      <c r="F342" t="inlineStr">
        <is>
          <t>No</t>
        </is>
      </c>
      <c r="G342" t="inlineStr">
        <is>
          <t>1</t>
        </is>
      </c>
      <c r="H342" t="inlineStr">
        <is>
          <t>No</t>
        </is>
      </c>
      <c r="I342" t="inlineStr">
        <is>
          <t>No</t>
        </is>
      </c>
      <c r="J342" t="inlineStr">
        <is>
          <t>0</t>
        </is>
      </c>
      <c r="K342" t="inlineStr">
        <is>
          <t>Summerson, John, 1904-1992.</t>
        </is>
      </c>
      <c r="L342" t="inlineStr">
        <is>
          <t>Hamden, Conn., Archon Books, 1965.</t>
        </is>
      </c>
      <c r="M342" t="inlineStr">
        <is>
          <t>1965</t>
        </is>
      </c>
      <c r="O342" t="inlineStr">
        <is>
          <t>eng</t>
        </is>
      </c>
      <c r="P342" t="inlineStr">
        <is>
          <t>ctu</t>
        </is>
      </c>
      <c r="Q342" t="inlineStr">
        <is>
          <t>Makers of history</t>
        </is>
      </c>
      <c r="R342" t="inlineStr">
        <is>
          <t xml:space="preserve">NA </t>
        </is>
      </c>
      <c r="S342" t="n">
        <v>1</v>
      </c>
      <c r="T342" t="n">
        <v>1</v>
      </c>
      <c r="U342" t="inlineStr">
        <is>
          <t>2003-03-03</t>
        </is>
      </c>
      <c r="V342" t="inlineStr">
        <is>
          <t>2003-03-03</t>
        </is>
      </c>
      <c r="W342" t="inlineStr">
        <is>
          <t>1997-07-01</t>
        </is>
      </c>
      <c r="X342" t="inlineStr">
        <is>
          <t>1997-07-01</t>
        </is>
      </c>
      <c r="Y342" t="n">
        <v>281</v>
      </c>
      <c r="Z342" t="n">
        <v>273</v>
      </c>
      <c r="AA342" t="n">
        <v>611</v>
      </c>
      <c r="AB342" t="n">
        <v>3</v>
      </c>
      <c r="AC342" t="n">
        <v>6</v>
      </c>
      <c r="AD342" t="n">
        <v>12</v>
      </c>
      <c r="AE342" t="n">
        <v>26</v>
      </c>
      <c r="AF342" t="n">
        <v>6</v>
      </c>
      <c r="AG342" t="n">
        <v>10</v>
      </c>
      <c r="AH342" t="n">
        <v>3</v>
      </c>
      <c r="AI342" t="n">
        <v>6</v>
      </c>
      <c r="AJ342" t="n">
        <v>4</v>
      </c>
      <c r="AK342" t="n">
        <v>13</v>
      </c>
      <c r="AL342" t="n">
        <v>2</v>
      </c>
      <c r="AM342" t="n">
        <v>4</v>
      </c>
      <c r="AN342" t="n">
        <v>0</v>
      </c>
      <c r="AO342" t="n">
        <v>0</v>
      </c>
      <c r="AP342" t="inlineStr">
        <is>
          <t>No</t>
        </is>
      </c>
      <c r="AQ342" t="inlineStr">
        <is>
          <t>Yes</t>
        </is>
      </c>
      <c r="AR342">
        <f>HYPERLINK("http://catalog.hathitrust.org/Record/006219682","HathiTrust Record")</f>
        <v/>
      </c>
      <c r="AS342">
        <f>HYPERLINK("https://creighton-primo.hosted.exlibrisgroup.com/primo-explore/search?tab=default_tab&amp;search_scope=EVERYTHING&amp;vid=01CRU&amp;lang=en_US&amp;offset=0&amp;query=any,contains,991002893579702656","Catalog Record")</f>
        <v/>
      </c>
      <c r="AT342">
        <f>HYPERLINK("http://www.worldcat.org/oclc/512739","WorldCat Record")</f>
        <v/>
      </c>
      <c r="AU342" t="inlineStr">
        <is>
          <t>5534327587:eng</t>
        </is>
      </c>
      <c r="AV342" t="inlineStr">
        <is>
          <t>512739</t>
        </is>
      </c>
      <c r="AW342" t="inlineStr">
        <is>
          <t>991002893579702656</t>
        </is>
      </c>
      <c r="AX342" t="inlineStr">
        <is>
          <t>991002893579702656</t>
        </is>
      </c>
      <c r="AY342" t="inlineStr">
        <is>
          <t>2263280420002656</t>
        </is>
      </c>
      <c r="AZ342" t="inlineStr">
        <is>
          <t>BOOK</t>
        </is>
      </c>
      <c r="BC342" t="inlineStr">
        <is>
          <t>32285002861739</t>
        </is>
      </c>
      <c r="BD342" t="inlineStr">
        <is>
          <t>893530608</t>
        </is>
      </c>
    </row>
    <row r="343">
      <c r="A343" t="inlineStr">
        <is>
          <t>No</t>
        </is>
      </c>
      <c r="B343" t="inlineStr">
        <is>
          <t>NA997.W8 T56 2001</t>
        </is>
      </c>
      <c r="C343" t="inlineStr">
        <is>
          <t>0                      NA 0997000W  8                  T  56          2001</t>
        </is>
      </c>
      <c r="D343" t="inlineStr">
        <is>
          <t>His invention so fertile : a life of Christopher Wren / Adrian Tinniswood.</t>
        </is>
      </c>
      <c r="F343" t="inlineStr">
        <is>
          <t>No</t>
        </is>
      </c>
      <c r="G343" t="inlineStr">
        <is>
          <t>1</t>
        </is>
      </c>
      <c r="H343" t="inlineStr">
        <is>
          <t>No</t>
        </is>
      </c>
      <c r="I343" t="inlineStr">
        <is>
          <t>No</t>
        </is>
      </c>
      <c r="J343" t="inlineStr">
        <is>
          <t>0</t>
        </is>
      </c>
      <c r="K343" t="inlineStr">
        <is>
          <t>Tinniswood, Adrian.</t>
        </is>
      </c>
      <c r="L343" t="inlineStr">
        <is>
          <t>Oxford ; New York : Oxford University Press, c2001.</t>
        </is>
      </c>
      <c r="M343" t="inlineStr">
        <is>
          <t>2001</t>
        </is>
      </c>
      <c r="O343" t="inlineStr">
        <is>
          <t>eng</t>
        </is>
      </c>
      <c r="P343" t="inlineStr">
        <is>
          <t>enk</t>
        </is>
      </c>
      <c r="R343" t="inlineStr">
        <is>
          <t xml:space="preserve">NA </t>
        </is>
      </c>
      <c r="S343" t="n">
        <v>7</v>
      </c>
      <c r="T343" t="n">
        <v>7</v>
      </c>
      <c r="U343" t="inlineStr">
        <is>
          <t>2008-03-31</t>
        </is>
      </c>
      <c r="V343" t="inlineStr">
        <is>
          <t>2008-03-31</t>
        </is>
      </c>
      <c r="W343" t="inlineStr">
        <is>
          <t>2002-01-08</t>
        </is>
      </c>
      <c r="X343" t="inlineStr">
        <is>
          <t>2002-01-08</t>
        </is>
      </c>
      <c r="Y343" t="n">
        <v>613</v>
      </c>
      <c r="Z343" t="n">
        <v>585</v>
      </c>
      <c r="AA343" t="n">
        <v>1179</v>
      </c>
      <c r="AB343" t="n">
        <v>3</v>
      </c>
      <c r="AC343" t="n">
        <v>8</v>
      </c>
      <c r="AD343" t="n">
        <v>18</v>
      </c>
      <c r="AE343" t="n">
        <v>37</v>
      </c>
      <c r="AF343" t="n">
        <v>6</v>
      </c>
      <c r="AG343" t="n">
        <v>13</v>
      </c>
      <c r="AH343" t="n">
        <v>4</v>
      </c>
      <c r="AI343" t="n">
        <v>8</v>
      </c>
      <c r="AJ343" t="n">
        <v>11</v>
      </c>
      <c r="AK343" t="n">
        <v>16</v>
      </c>
      <c r="AL343" t="n">
        <v>2</v>
      </c>
      <c r="AM343" t="n">
        <v>7</v>
      </c>
      <c r="AN343" t="n">
        <v>0</v>
      </c>
      <c r="AO343" t="n">
        <v>1</v>
      </c>
      <c r="AP343" t="inlineStr">
        <is>
          <t>No</t>
        </is>
      </c>
      <c r="AQ343" t="inlineStr">
        <is>
          <t>Yes</t>
        </is>
      </c>
      <c r="AR343">
        <f>HYPERLINK("http://catalog.hathitrust.org/Record/003601115","HathiTrust Record")</f>
        <v/>
      </c>
      <c r="AS343">
        <f>HYPERLINK("https://creighton-primo.hosted.exlibrisgroup.com/primo-explore/search?tab=default_tab&amp;search_scope=EVERYTHING&amp;vid=01CRU&amp;lang=en_US&amp;offset=0&amp;query=any,contains,991003679059702656","Catalog Record")</f>
        <v/>
      </c>
      <c r="AT343">
        <f>HYPERLINK("http://www.worldcat.org/oclc/47746392","WorldCat Record")</f>
        <v/>
      </c>
      <c r="AU343" t="inlineStr">
        <is>
          <t>793951973:eng</t>
        </is>
      </c>
      <c r="AV343" t="inlineStr">
        <is>
          <t>47746392</t>
        </is>
      </c>
      <c r="AW343" t="inlineStr">
        <is>
          <t>991003679059702656</t>
        </is>
      </c>
      <c r="AX343" t="inlineStr">
        <is>
          <t>991003679059702656</t>
        </is>
      </c>
      <c r="AY343" t="inlineStr">
        <is>
          <t>2268065230002656</t>
        </is>
      </c>
      <c r="AZ343" t="inlineStr">
        <is>
          <t>BOOK</t>
        </is>
      </c>
      <c r="BB343" t="inlineStr">
        <is>
          <t>9780195149890</t>
        </is>
      </c>
      <c r="BC343" t="inlineStr">
        <is>
          <t>32285004446323</t>
        </is>
      </c>
      <c r="BD343" t="inlineStr">
        <is>
          <t>893875032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