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66"/>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NB104 .S7 1982</t>
        </is>
      </c>
      <c r="C2" t="inlineStr">
        <is>
          <t>0                      NB 0104000S  7           1982</t>
        </is>
      </c>
      <c r="D2" t="inlineStr">
        <is>
          <t>Skopas in Malibu : the head of Achilles from Tegea and other sculptures by Skopas in the J. Paul Getty Museum / Andrew Stewart.</t>
        </is>
      </c>
      <c r="F2" t="inlineStr">
        <is>
          <t>No</t>
        </is>
      </c>
      <c r="G2" t="inlineStr">
        <is>
          <t>1</t>
        </is>
      </c>
      <c r="H2" t="inlineStr">
        <is>
          <t>No</t>
        </is>
      </c>
      <c r="I2" t="inlineStr">
        <is>
          <t>No</t>
        </is>
      </c>
      <c r="J2" t="inlineStr">
        <is>
          <t>0</t>
        </is>
      </c>
      <c r="K2" t="inlineStr">
        <is>
          <t>Stewart, Andrew F.</t>
        </is>
      </c>
      <c r="L2" t="inlineStr">
        <is>
          <t>Malibu, Calif. : J. Paul Getty Museum, c1982.</t>
        </is>
      </c>
      <c r="M2" t="inlineStr">
        <is>
          <t>1982</t>
        </is>
      </c>
      <c r="O2" t="inlineStr">
        <is>
          <t>eng</t>
        </is>
      </c>
      <c r="P2" t="inlineStr">
        <is>
          <t>cau</t>
        </is>
      </c>
      <c r="R2" t="inlineStr">
        <is>
          <t xml:space="preserve">NB </t>
        </is>
      </c>
      <c r="S2" t="n">
        <v>1</v>
      </c>
      <c r="T2" t="n">
        <v>1</v>
      </c>
      <c r="U2" t="inlineStr">
        <is>
          <t>2002-10-12</t>
        </is>
      </c>
      <c r="V2" t="inlineStr">
        <is>
          <t>2002-10-12</t>
        </is>
      </c>
      <c r="W2" t="inlineStr">
        <is>
          <t>1993-05-17</t>
        </is>
      </c>
      <c r="X2" t="inlineStr">
        <is>
          <t>1993-05-17</t>
        </is>
      </c>
      <c r="Y2" t="n">
        <v>253</v>
      </c>
      <c r="Z2" t="n">
        <v>197</v>
      </c>
      <c r="AA2" t="n">
        <v>200</v>
      </c>
      <c r="AB2" t="n">
        <v>2</v>
      </c>
      <c r="AC2" t="n">
        <v>2</v>
      </c>
      <c r="AD2" t="n">
        <v>9</v>
      </c>
      <c r="AE2" t="n">
        <v>9</v>
      </c>
      <c r="AF2" t="n">
        <v>3</v>
      </c>
      <c r="AG2" t="n">
        <v>3</v>
      </c>
      <c r="AH2" t="n">
        <v>3</v>
      </c>
      <c r="AI2" t="n">
        <v>3</v>
      </c>
      <c r="AJ2" t="n">
        <v>6</v>
      </c>
      <c r="AK2" t="n">
        <v>6</v>
      </c>
      <c r="AL2" t="n">
        <v>1</v>
      </c>
      <c r="AM2" t="n">
        <v>1</v>
      </c>
      <c r="AN2" t="n">
        <v>0</v>
      </c>
      <c r="AO2" t="n">
        <v>0</v>
      </c>
      <c r="AP2" t="inlineStr">
        <is>
          <t>No</t>
        </is>
      </c>
      <c r="AQ2" t="inlineStr">
        <is>
          <t>Yes</t>
        </is>
      </c>
      <c r="AR2">
        <f>HYPERLINK("http://catalog.hathitrust.org/Record/000273543","HathiTrust Record")</f>
        <v/>
      </c>
      <c r="AS2">
        <f>HYPERLINK("https://creighton-primo.hosted.exlibrisgroup.com/primo-explore/search?tab=default_tab&amp;search_scope=EVERYTHING&amp;vid=01CRU&amp;lang=en_US&amp;offset=0&amp;query=any,contains,991005251899702656","Catalog Record")</f>
        <v/>
      </c>
      <c r="AT2">
        <f>HYPERLINK("http://www.worldcat.org/oclc/8494675","WorldCat Record")</f>
        <v/>
      </c>
      <c r="AU2" t="inlineStr">
        <is>
          <t>889652880:eng</t>
        </is>
      </c>
      <c r="AV2" t="inlineStr">
        <is>
          <t>8494675</t>
        </is>
      </c>
      <c r="AW2" t="inlineStr">
        <is>
          <t>991005251899702656</t>
        </is>
      </c>
      <c r="AX2" t="inlineStr">
        <is>
          <t>991005251899702656</t>
        </is>
      </c>
      <c r="AY2" t="inlineStr">
        <is>
          <t>2259993250002656</t>
        </is>
      </c>
      <c r="AZ2" t="inlineStr">
        <is>
          <t>BOOK</t>
        </is>
      </c>
      <c r="BB2" t="inlineStr">
        <is>
          <t>9780892360369</t>
        </is>
      </c>
      <c r="BC2" t="inlineStr">
        <is>
          <t>32285001658953</t>
        </is>
      </c>
      <c r="BD2" t="inlineStr">
        <is>
          <t>893431126</t>
        </is>
      </c>
    </row>
    <row r="3">
      <c r="A3" t="inlineStr">
        <is>
          <t>No</t>
        </is>
      </c>
      <c r="B3" t="inlineStr">
        <is>
          <t>NB1080 .F32</t>
        </is>
      </c>
      <c r="C3" t="inlineStr">
        <is>
          <t>0                      NB 1080000F  32</t>
        </is>
      </c>
      <c r="D3" t="inlineStr">
        <is>
          <t>Tribes and forms in African art [by] William Fagg.</t>
        </is>
      </c>
      <c r="F3" t="inlineStr">
        <is>
          <t>No</t>
        </is>
      </c>
      <c r="G3" t="inlineStr">
        <is>
          <t>1</t>
        </is>
      </c>
      <c r="H3" t="inlineStr">
        <is>
          <t>No</t>
        </is>
      </c>
      <c r="I3" t="inlineStr">
        <is>
          <t>No</t>
        </is>
      </c>
      <c r="J3" t="inlineStr">
        <is>
          <t>0</t>
        </is>
      </c>
      <c r="K3" t="inlineStr">
        <is>
          <t>Fagg, William, 1914-1992.</t>
        </is>
      </c>
      <c r="L3" t="inlineStr">
        <is>
          <t>New York, Tudor Pub. Co. [1965]</t>
        </is>
      </c>
      <c r="M3" t="inlineStr">
        <is>
          <t>1965</t>
        </is>
      </c>
      <c r="O3" t="inlineStr">
        <is>
          <t>eng</t>
        </is>
      </c>
      <c r="P3" t="inlineStr">
        <is>
          <t>nyu</t>
        </is>
      </c>
      <c r="R3" t="inlineStr">
        <is>
          <t xml:space="preserve">NB </t>
        </is>
      </c>
      <c r="S3" t="n">
        <v>3</v>
      </c>
      <c r="T3" t="n">
        <v>3</v>
      </c>
      <c r="U3" t="inlineStr">
        <is>
          <t>1999-02-16</t>
        </is>
      </c>
      <c r="V3" t="inlineStr">
        <is>
          <t>1999-02-16</t>
        </is>
      </c>
      <c r="W3" t="inlineStr">
        <is>
          <t>1997-07-03</t>
        </is>
      </c>
      <c r="X3" t="inlineStr">
        <is>
          <t>1997-07-03</t>
        </is>
      </c>
      <c r="Y3" t="n">
        <v>801</v>
      </c>
      <c r="Z3" t="n">
        <v>756</v>
      </c>
      <c r="AA3" t="n">
        <v>822</v>
      </c>
      <c r="AB3" t="n">
        <v>5</v>
      </c>
      <c r="AC3" t="n">
        <v>5</v>
      </c>
      <c r="AD3" t="n">
        <v>24</v>
      </c>
      <c r="AE3" t="n">
        <v>28</v>
      </c>
      <c r="AF3" t="n">
        <v>8</v>
      </c>
      <c r="AG3" t="n">
        <v>9</v>
      </c>
      <c r="AH3" t="n">
        <v>3</v>
      </c>
      <c r="AI3" t="n">
        <v>5</v>
      </c>
      <c r="AJ3" t="n">
        <v>14</v>
      </c>
      <c r="AK3" t="n">
        <v>15</v>
      </c>
      <c r="AL3" t="n">
        <v>3</v>
      </c>
      <c r="AM3" t="n">
        <v>3</v>
      </c>
      <c r="AN3" t="n">
        <v>0</v>
      </c>
      <c r="AO3" t="n">
        <v>0</v>
      </c>
      <c r="AP3" t="inlineStr">
        <is>
          <t>No</t>
        </is>
      </c>
      <c r="AQ3" t="inlineStr">
        <is>
          <t>Yes</t>
        </is>
      </c>
      <c r="AR3">
        <f>HYPERLINK("http://catalog.hathitrust.org/Record/001468109","HathiTrust Record")</f>
        <v/>
      </c>
      <c r="AS3">
        <f>HYPERLINK("https://creighton-primo.hosted.exlibrisgroup.com/primo-explore/search?tab=default_tab&amp;search_scope=EVERYTHING&amp;vid=01CRU&amp;lang=en_US&amp;offset=0&amp;query=any,contains,991001055449702656","Catalog Record")</f>
        <v/>
      </c>
      <c r="AT3">
        <f>HYPERLINK("http://www.worldcat.org/oclc/177182","WorldCat Record")</f>
        <v/>
      </c>
      <c r="AU3" t="inlineStr">
        <is>
          <t>1313392:eng</t>
        </is>
      </c>
      <c r="AV3" t="inlineStr">
        <is>
          <t>177182</t>
        </is>
      </c>
      <c r="AW3" t="inlineStr">
        <is>
          <t>991001055449702656</t>
        </is>
      </c>
      <c r="AX3" t="inlineStr">
        <is>
          <t>991001055449702656</t>
        </is>
      </c>
      <c r="AY3" t="inlineStr">
        <is>
          <t>2268318450002656</t>
        </is>
      </c>
      <c r="AZ3" t="inlineStr">
        <is>
          <t>BOOK</t>
        </is>
      </c>
      <c r="BC3" t="inlineStr">
        <is>
          <t>32285002864006</t>
        </is>
      </c>
      <c r="BD3" t="inlineStr">
        <is>
          <t>893778515</t>
        </is>
      </c>
    </row>
    <row r="4">
      <c r="A4" t="inlineStr">
        <is>
          <t>No</t>
        </is>
      </c>
      <c r="B4" t="inlineStr">
        <is>
          <t>NB1080 .R6</t>
        </is>
      </c>
      <c r="C4" t="inlineStr">
        <is>
          <t>0                      NB 1080000R  6</t>
        </is>
      </c>
      <c r="D4" t="inlineStr">
        <is>
          <t>African art in American collections. L'art africain dans les collections americaines, by Warren M. Robbins with the assistance of Robert H. Simmons. Translated into French by Richard Walters.</t>
        </is>
      </c>
      <c r="F4" t="inlineStr">
        <is>
          <t>No</t>
        </is>
      </c>
      <c r="G4" t="inlineStr">
        <is>
          <t>1</t>
        </is>
      </c>
      <c r="H4" t="inlineStr">
        <is>
          <t>No</t>
        </is>
      </c>
      <c r="I4" t="inlineStr">
        <is>
          <t>No</t>
        </is>
      </c>
      <c r="J4" t="inlineStr">
        <is>
          <t>0</t>
        </is>
      </c>
      <c r="K4" t="inlineStr">
        <is>
          <t>Robbins, Warren M.</t>
        </is>
      </c>
      <c r="L4" t="inlineStr">
        <is>
          <t>New York, F. A. Praeger, 1966.</t>
        </is>
      </c>
      <c r="M4" t="inlineStr">
        <is>
          <t>1966</t>
        </is>
      </c>
      <c r="O4" t="inlineStr">
        <is>
          <t>eng</t>
        </is>
      </c>
      <c r="P4" t="inlineStr">
        <is>
          <t>nyu</t>
        </is>
      </c>
      <c r="R4" t="inlineStr">
        <is>
          <t xml:space="preserve">NB </t>
        </is>
      </c>
      <c r="S4" t="n">
        <v>4</v>
      </c>
      <c r="T4" t="n">
        <v>4</v>
      </c>
      <c r="U4" t="inlineStr">
        <is>
          <t>1997-09-22</t>
        </is>
      </c>
      <c r="V4" t="inlineStr">
        <is>
          <t>1997-09-22</t>
        </is>
      </c>
      <c r="W4" t="inlineStr">
        <is>
          <t>1997-07-03</t>
        </is>
      </c>
      <c r="X4" t="inlineStr">
        <is>
          <t>1997-07-03</t>
        </is>
      </c>
      <c r="Y4" t="n">
        <v>574</v>
      </c>
      <c r="Z4" t="n">
        <v>540</v>
      </c>
      <c r="AA4" t="n">
        <v>547</v>
      </c>
      <c r="AB4" t="n">
        <v>3</v>
      </c>
      <c r="AC4" t="n">
        <v>3</v>
      </c>
      <c r="AD4" t="n">
        <v>11</v>
      </c>
      <c r="AE4" t="n">
        <v>11</v>
      </c>
      <c r="AF4" t="n">
        <v>4</v>
      </c>
      <c r="AG4" t="n">
        <v>4</v>
      </c>
      <c r="AH4" t="n">
        <v>2</v>
      </c>
      <c r="AI4" t="n">
        <v>2</v>
      </c>
      <c r="AJ4" t="n">
        <v>5</v>
      </c>
      <c r="AK4" t="n">
        <v>5</v>
      </c>
      <c r="AL4" t="n">
        <v>1</v>
      </c>
      <c r="AM4" t="n">
        <v>1</v>
      </c>
      <c r="AN4" t="n">
        <v>0</v>
      </c>
      <c r="AO4" t="n">
        <v>0</v>
      </c>
      <c r="AP4" t="inlineStr">
        <is>
          <t>No</t>
        </is>
      </c>
      <c r="AQ4" t="inlineStr">
        <is>
          <t>Yes</t>
        </is>
      </c>
      <c r="AR4">
        <f>HYPERLINK("http://catalog.hathitrust.org/Record/001468114","HathiTrust Record")</f>
        <v/>
      </c>
      <c r="AS4">
        <f>HYPERLINK("https://creighton-primo.hosted.exlibrisgroup.com/primo-explore/search?tab=default_tab&amp;search_scope=EVERYTHING&amp;vid=01CRU&amp;lang=en_US&amp;offset=0&amp;query=any,contains,991002902209702656","Catalog Record")</f>
        <v/>
      </c>
      <c r="AT4">
        <f>HYPERLINK("http://www.worldcat.org/oclc/517761","WorldCat Record")</f>
        <v/>
      </c>
      <c r="AU4" t="inlineStr">
        <is>
          <t>21897051:eng</t>
        </is>
      </c>
      <c r="AV4" t="inlineStr">
        <is>
          <t>517761</t>
        </is>
      </c>
      <c r="AW4" t="inlineStr">
        <is>
          <t>991002902209702656</t>
        </is>
      </c>
      <c r="AX4" t="inlineStr">
        <is>
          <t>991002902209702656</t>
        </is>
      </c>
      <c r="AY4" t="inlineStr">
        <is>
          <t>2254919290002656</t>
        </is>
      </c>
      <c r="AZ4" t="inlineStr">
        <is>
          <t>BOOK</t>
        </is>
      </c>
      <c r="BC4" t="inlineStr">
        <is>
          <t>32285002864014</t>
        </is>
      </c>
      <c r="BD4" t="inlineStr">
        <is>
          <t>893805193</t>
        </is>
      </c>
    </row>
    <row r="5">
      <c r="A5" t="inlineStr">
        <is>
          <t>No</t>
        </is>
      </c>
      <c r="B5" t="inlineStr">
        <is>
          <t>NB1080 .T48 1990</t>
        </is>
      </c>
      <c r="C5" t="inlineStr">
        <is>
          <t>0                      NB 1080000T  48          1990</t>
        </is>
      </c>
      <c r="D5" t="inlineStr">
        <is>
          <t>Closeup : lessons in the art of seeing African sculpture : from an American collection and the Horstmann collection / Jerry L. Thompson, Susan Vogel ; catalogue by Anne D'Alleva.</t>
        </is>
      </c>
      <c r="F5" t="inlineStr">
        <is>
          <t>No</t>
        </is>
      </c>
      <c r="G5" t="inlineStr">
        <is>
          <t>1</t>
        </is>
      </c>
      <c r="H5" t="inlineStr">
        <is>
          <t>No</t>
        </is>
      </c>
      <c r="I5" t="inlineStr">
        <is>
          <t>No</t>
        </is>
      </c>
      <c r="J5" t="inlineStr">
        <is>
          <t>0</t>
        </is>
      </c>
      <c r="K5" t="inlineStr">
        <is>
          <t>Thompson, Jerry L.</t>
        </is>
      </c>
      <c r="L5" t="inlineStr">
        <is>
          <t>New York, N.Y. : The Center for African Art, 1990.</t>
        </is>
      </c>
      <c r="M5" t="inlineStr">
        <is>
          <t>1990</t>
        </is>
      </c>
      <c r="O5" t="inlineStr">
        <is>
          <t>eng</t>
        </is>
      </c>
      <c r="P5" t="inlineStr">
        <is>
          <t>nyu</t>
        </is>
      </c>
      <c r="R5" t="inlineStr">
        <is>
          <t xml:space="preserve">NB </t>
        </is>
      </c>
      <c r="S5" t="n">
        <v>8</v>
      </c>
      <c r="T5" t="n">
        <v>8</v>
      </c>
      <c r="U5" t="inlineStr">
        <is>
          <t>1997-09-23</t>
        </is>
      </c>
      <c r="V5" t="inlineStr">
        <is>
          <t>1997-09-23</t>
        </is>
      </c>
      <c r="W5" t="inlineStr">
        <is>
          <t>1991-10-17</t>
        </is>
      </c>
      <c r="X5" t="inlineStr">
        <is>
          <t>1991-10-17</t>
        </is>
      </c>
      <c r="Y5" t="n">
        <v>443</v>
      </c>
      <c r="Z5" t="n">
        <v>352</v>
      </c>
      <c r="AA5" t="n">
        <v>355</v>
      </c>
      <c r="AB5" t="n">
        <v>2</v>
      </c>
      <c r="AC5" t="n">
        <v>2</v>
      </c>
      <c r="AD5" t="n">
        <v>6</v>
      </c>
      <c r="AE5" t="n">
        <v>6</v>
      </c>
      <c r="AF5" t="n">
        <v>2</v>
      </c>
      <c r="AG5" t="n">
        <v>2</v>
      </c>
      <c r="AH5" t="n">
        <v>2</v>
      </c>
      <c r="AI5" t="n">
        <v>2</v>
      </c>
      <c r="AJ5" t="n">
        <v>2</v>
      </c>
      <c r="AK5" t="n">
        <v>2</v>
      </c>
      <c r="AL5" t="n">
        <v>1</v>
      </c>
      <c r="AM5" t="n">
        <v>1</v>
      </c>
      <c r="AN5" t="n">
        <v>0</v>
      </c>
      <c r="AO5" t="n">
        <v>0</v>
      </c>
      <c r="AP5" t="inlineStr">
        <is>
          <t>No</t>
        </is>
      </c>
      <c r="AQ5" t="inlineStr">
        <is>
          <t>Yes</t>
        </is>
      </c>
      <c r="AR5">
        <f>HYPERLINK("http://catalog.hathitrust.org/Record/002487915","HathiTrust Record")</f>
        <v/>
      </c>
      <c r="AS5">
        <f>HYPERLINK("https://creighton-primo.hosted.exlibrisgroup.com/primo-explore/search?tab=default_tab&amp;search_scope=EVERYTHING&amp;vid=01CRU&amp;lang=en_US&amp;offset=0&amp;query=any,contains,991001741369702656","Catalog Record")</f>
        <v/>
      </c>
      <c r="AT5">
        <f>HYPERLINK("http://www.worldcat.org/oclc/22004970","WorldCat Record")</f>
        <v/>
      </c>
      <c r="AU5" t="inlineStr">
        <is>
          <t>5469299295:eng</t>
        </is>
      </c>
      <c r="AV5" t="inlineStr">
        <is>
          <t>22004970</t>
        </is>
      </c>
      <c r="AW5" t="inlineStr">
        <is>
          <t>991001741369702656</t>
        </is>
      </c>
      <c r="AX5" t="inlineStr">
        <is>
          <t>991001741369702656</t>
        </is>
      </c>
      <c r="AY5" t="inlineStr">
        <is>
          <t>2272042900002656</t>
        </is>
      </c>
      <c r="AZ5" t="inlineStr">
        <is>
          <t>BOOK</t>
        </is>
      </c>
      <c r="BB5" t="inlineStr">
        <is>
          <t>9780945802082</t>
        </is>
      </c>
      <c r="BC5" t="inlineStr">
        <is>
          <t>32285000726991</t>
        </is>
      </c>
      <c r="BD5" t="inlineStr">
        <is>
          <t>893522792</t>
        </is>
      </c>
    </row>
    <row r="6">
      <c r="A6" t="inlineStr">
        <is>
          <t>No</t>
        </is>
      </c>
      <c r="B6" t="inlineStr">
        <is>
          <t>NB1080 .T7 1954a</t>
        </is>
      </c>
      <c r="C6" t="inlineStr">
        <is>
          <t>0                      NB 1080000T  7           1954a</t>
        </is>
      </c>
      <c r="D6" t="inlineStr">
        <is>
          <t>Classical African sculpture.</t>
        </is>
      </c>
      <c r="F6" t="inlineStr">
        <is>
          <t>No</t>
        </is>
      </c>
      <c r="G6" t="inlineStr">
        <is>
          <t>1</t>
        </is>
      </c>
      <c r="H6" t="inlineStr">
        <is>
          <t>No</t>
        </is>
      </c>
      <c r="I6" t="inlineStr">
        <is>
          <t>No</t>
        </is>
      </c>
      <c r="J6" t="inlineStr">
        <is>
          <t>0</t>
        </is>
      </c>
      <c r="K6" t="inlineStr">
        <is>
          <t>Trowell, Margaret.</t>
        </is>
      </c>
      <c r="L6" t="inlineStr">
        <is>
          <t>New York, Praeger [1954]</t>
        </is>
      </c>
      <c r="M6" t="inlineStr">
        <is>
          <t>1954</t>
        </is>
      </c>
      <c r="O6" t="inlineStr">
        <is>
          <t>eng</t>
        </is>
      </c>
      <c r="P6" t="inlineStr">
        <is>
          <t xml:space="preserve">xx </t>
        </is>
      </c>
      <c r="Q6" t="inlineStr">
        <is>
          <t>Books that matter</t>
        </is>
      </c>
      <c r="R6" t="inlineStr">
        <is>
          <t xml:space="preserve">NB </t>
        </is>
      </c>
      <c r="S6" t="n">
        <v>2</v>
      </c>
      <c r="T6" t="n">
        <v>2</v>
      </c>
      <c r="U6" t="inlineStr">
        <is>
          <t>1997-09-21</t>
        </is>
      </c>
      <c r="V6" t="inlineStr">
        <is>
          <t>1997-09-21</t>
        </is>
      </c>
      <c r="W6" t="inlineStr">
        <is>
          <t>1997-07-03</t>
        </is>
      </c>
      <c r="X6" t="inlineStr">
        <is>
          <t>1997-07-03</t>
        </is>
      </c>
      <c r="Y6" t="n">
        <v>78</v>
      </c>
      <c r="Z6" t="n">
        <v>75</v>
      </c>
      <c r="AA6" t="n">
        <v>707</v>
      </c>
      <c r="AB6" t="n">
        <v>1</v>
      </c>
      <c r="AC6" t="n">
        <v>5</v>
      </c>
      <c r="AD6" t="n">
        <v>1</v>
      </c>
      <c r="AE6" t="n">
        <v>18</v>
      </c>
      <c r="AF6" t="n">
        <v>0</v>
      </c>
      <c r="AG6" t="n">
        <v>4</v>
      </c>
      <c r="AH6" t="n">
        <v>0</v>
      </c>
      <c r="AI6" t="n">
        <v>4</v>
      </c>
      <c r="AJ6" t="n">
        <v>1</v>
      </c>
      <c r="AK6" t="n">
        <v>10</v>
      </c>
      <c r="AL6" t="n">
        <v>0</v>
      </c>
      <c r="AM6" t="n">
        <v>3</v>
      </c>
      <c r="AN6" t="n">
        <v>0</v>
      </c>
      <c r="AO6" t="n">
        <v>0</v>
      </c>
      <c r="AP6" t="inlineStr">
        <is>
          <t>No</t>
        </is>
      </c>
      <c r="AQ6" t="inlineStr">
        <is>
          <t>No</t>
        </is>
      </c>
      <c r="AS6">
        <f>HYPERLINK("https://creighton-primo.hosted.exlibrisgroup.com/primo-explore/search?tab=default_tab&amp;search_scope=EVERYTHING&amp;vid=01CRU&amp;lang=en_US&amp;offset=0&amp;query=any,contains,991004285959702656","Catalog Record")</f>
        <v/>
      </c>
      <c r="AT6">
        <f>HYPERLINK("http://www.worldcat.org/oclc/2925451","WorldCat Record")</f>
        <v/>
      </c>
      <c r="AU6" t="inlineStr">
        <is>
          <t>1284986:eng</t>
        </is>
      </c>
      <c r="AV6" t="inlineStr">
        <is>
          <t>2925451</t>
        </is>
      </c>
      <c r="AW6" t="inlineStr">
        <is>
          <t>991004285959702656</t>
        </is>
      </c>
      <c r="AX6" t="inlineStr">
        <is>
          <t>991004285959702656</t>
        </is>
      </c>
      <c r="AY6" t="inlineStr">
        <is>
          <t>2262543480002656</t>
        </is>
      </c>
      <c r="AZ6" t="inlineStr">
        <is>
          <t>BOOK</t>
        </is>
      </c>
      <c r="BC6" t="inlineStr">
        <is>
          <t>32285002864022</t>
        </is>
      </c>
      <c r="BD6" t="inlineStr">
        <is>
          <t>893794694</t>
        </is>
      </c>
    </row>
    <row r="7">
      <c r="A7" t="inlineStr">
        <is>
          <t>No</t>
        </is>
      </c>
      <c r="B7" t="inlineStr">
        <is>
          <t>NB1091.65 .S54 1987</t>
        </is>
      </c>
      <c r="C7" t="inlineStr">
        <is>
          <t>0                      NB 1091650S  54          1987</t>
        </is>
      </c>
      <c r="D7" t="inlineStr">
        <is>
          <t>African art in the cycle of life / Roy Sieber and Roslyn Adele Walker.</t>
        </is>
      </c>
      <c r="F7" t="inlineStr">
        <is>
          <t>No</t>
        </is>
      </c>
      <c r="G7" t="inlineStr">
        <is>
          <t>1</t>
        </is>
      </c>
      <c r="H7" t="inlineStr">
        <is>
          <t>No</t>
        </is>
      </c>
      <c r="I7" t="inlineStr">
        <is>
          <t>No</t>
        </is>
      </c>
      <c r="J7" t="inlineStr">
        <is>
          <t>0</t>
        </is>
      </c>
      <c r="K7" t="inlineStr">
        <is>
          <t>Sieber, Roy, 1923-2001.</t>
        </is>
      </c>
      <c r="L7" t="inlineStr">
        <is>
          <t>Washington, D.C. : Published for the National Museum of African Art by the Smithsonian Press, c1987.</t>
        </is>
      </c>
      <c r="M7" t="inlineStr">
        <is>
          <t>1987</t>
        </is>
      </c>
      <c r="O7" t="inlineStr">
        <is>
          <t>eng</t>
        </is>
      </c>
      <c r="P7" t="inlineStr">
        <is>
          <t>dcu</t>
        </is>
      </c>
      <c r="R7" t="inlineStr">
        <is>
          <t xml:space="preserve">NB </t>
        </is>
      </c>
      <c r="S7" t="n">
        <v>17</v>
      </c>
      <c r="T7" t="n">
        <v>17</v>
      </c>
      <c r="U7" t="inlineStr">
        <is>
          <t>1997-12-19</t>
        </is>
      </c>
      <c r="V7" t="inlineStr">
        <is>
          <t>1997-12-19</t>
        </is>
      </c>
      <c r="W7" t="inlineStr">
        <is>
          <t>1992-11-01</t>
        </is>
      </c>
      <c r="X7" t="inlineStr">
        <is>
          <t>1992-11-01</t>
        </is>
      </c>
      <c r="Y7" t="n">
        <v>883</v>
      </c>
      <c r="Z7" t="n">
        <v>787</v>
      </c>
      <c r="AA7" t="n">
        <v>792</v>
      </c>
      <c r="AB7" t="n">
        <v>4</v>
      </c>
      <c r="AC7" t="n">
        <v>4</v>
      </c>
      <c r="AD7" t="n">
        <v>21</v>
      </c>
      <c r="AE7" t="n">
        <v>21</v>
      </c>
      <c r="AF7" t="n">
        <v>9</v>
      </c>
      <c r="AG7" t="n">
        <v>9</v>
      </c>
      <c r="AH7" t="n">
        <v>6</v>
      </c>
      <c r="AI7" t="n">
        <v>6</v>
      </c>
      <c r="AJ7" t="n">
        <v>7</v>
      </c>
      <c r="AK7" t="n">
        <v>7</v>
      </c>
      <c r="AL7" t="n">
        <v>3</v>
      </c>
      <c r="AM7" t="n">
        <v>3</v>
      </c>
      <c r="AN7" t="n">
        <v>0</v>
      </c>
      <c r="AO7" t="n">
        <v>0</v>
      </c>
      <c r="AP7" t="inlineStr">
        <is>
          <t>No</t>
        </is>
      </c>
      <c r="AQ7" t="inlineStr">
        <is>
          <t>Yes</t>
        </is>
      </c>
      <c r="AR7">
        <f>HYPERLINK("http://catalog.hathitrust.org/Record/000885297","HathiTrust Record")</f>
        <v/>
      </c>
      <c r="AS7">
        <f>HYPERLINK("https://creighton-primo.hosted.exlibrisgroup.com/primo-explore/search?tab=default_tab&amp;search_scope=EVERYTHING&amp;vid=01CRU&amp;lang=en_US&amp;offset=0&amp;query=any,contains,991001098419702656","Catalog Record")</f>
        <v/>
      </c>
      <c r="AT7">
        <f>HYPERLINK("http://www.worldcat.org/oclc/16277946","WorldCat Record")</f>
        <v/>
      </c>
      <c r="AU7" t="inlineStr">
        <is>
          <t>12372820:eng</t>
        </is>
      </c>
      <c r="AV7" t="inlineStr">
        <is>
          <t>16277946</t>
        </is>
      </c>
      <c r="AW7" t="inlineStr">
        <is>
          <t>991001098419702656</t>
        </is>
      </c>
      <c r="AX7" t="inlineStr">
        <is>
          <t>991001098419702656</t>
        </is>
      </c>
      <c r="AY7" t="inlineStr">
        <is>
          <t>2260735220002656</t>
        </is>
      </c>
      <c r="AZ7" t="inlineStr">
        <is>
          <t>BOOK</t>
        </is>
      </c>
      <c r="BB7" t="inlineStr">
        <is>
          <t>9780874748222</t>
        </is>
      </c>
      <c r="BC7" t="inlineStr">
        <is>
          <t>32285001380012</t>
        </is>
      </c>
      <c r="BD7" t="inlineStr">
        <is>
          <t>893444581</t>
        </is>
      </c>
    </row>
    <row r="8">
      <c r="A8" t="inlineStr">
        <is>
          <t>No</t>
        </is>
      </c>
      <c r="B8" t="inlineStr">
        <is>
          <t>NB1097.E3 H6</t>
        </is>
      </c>
      <c r="C8" t="inlineStr">
        <is>
          <t>0                      NB 1097000E  3                  H  6</t>
        </is>
      </c>
      <c r="D8" t="inlineStr">
        <is>
          <t>Masks and figures from Eastern and Southern Africa / text by Ladislav Holy; photographed by Dominique Darbois.</t>
        </is>
      </c>
      <c r="F8" t="inlineStr">
        <is>
          <t>No</t>
        </is>
      </c>
      <c r="G8" t="inlineStr">
        <is>
          <t>1</t>
        </is>
      </c>
      <c r="H8" t="inlineStr">
        <is>
          <t>No</t>
        </is>
      </c>
      <c r="I8" t="inlineStr">
        <is>
          <t>No</t>
        </is>
      </c>
      <c r="J8" t="inlineStr">
        <is>
          <t>0</t>
        </is>
      </c>
      <c r="K8" t="inlineStr">
        <is>
          <t>Holý, Ladislav.</t>
        </is>
      </c>
      <c r="L8" t="inlineStr">
        <is>
          <t>London : Hamlyn, 1967.</t>
        </is>
      </c>
      <c r="M8" t="inlineStr">
        <is>
          <t>1967</t>
        </is>
      </c>
      <c r="O8" t="inlineStr">
        <is>
          <t>eng</t>
        </is>
      </c>
      <c r="P8" t="inlineStr">
        <is>
          <t>enk</t>
        </is>
      </c>
      <c r="Q8" t="inlineStr">
        <is>
          <t>The Art of Africa</t>
        </is>
      </c>
      <c r="R8" t="inlineStr">
        <is>
          <t xml:space="preserve">NB </t>
        </is>
      </c>
      <c r="S8" t="n">
        <v>6</v>
      </c>
      <c r="T8" t="n">
        <v>6</v>
      </c>
      <c r="U8" t="inlineStr">
        <is>
          <t>1999-09-20</t>
        </is>
      </c>
      <c r="V8" t="inlineStr">
        <is>
          <t>1999-09-20</t>
        </is>
      </c>
      <c r="W8" t="inlineStr">
        <is>
          <t>1990-10-22</t>
        </is>
      </c>
      <c r="X8" t="inlineStr">
        <is>
          <t>1990-10-22</t>
        </is>
      </c>
      <c r="Y8" t="n">
        <v>480</v>
      </c>
      <c r="Z8" t="n">
        <v>425</v>
      </c>
      <c r="AA8" t="n">
        <v>443</v>
      </c>
      <c r="AB8" t="n">
        <v>5</v>
      </c>
      <c r="AC8" t="n">
        <v>5</v>
      </c>
      <c r="AD8" t="n">
        <v>14</v>
      </c>
      <c r="AE8" t="n">
        <v>14</v>
      </c>
      <c r="AF8" t="n">
        <v>8</v>
      </c>
      <c r="AG8" t="n">
        <v>8</v>
      </c>
      <c r="AH8" t="n">
        <v>2</v>
      </c>
      <c r="AI8" t="n">
        <v>2</v>
      </c>
      <c r="AJ8" t="n">
        <v>3</v>
      </c>
      <c r="AK8" t="n">
        <v>3</v>
      </c>
      <c r="AL8" t="n">
        <v>4</v>
      </c>
      <c r="AM8" t="n">
        <v>4</v>
      </c>
      <c r="AN8" t="n">
        <v>0</v>
      </c>
      <c r="AO8" t="n">
        <v>0</v>
      </c>
      <c r="AP8" t="inlineStr">
        <is>
          <t>No</t>
        </is>
      </c>
      <c r="AQ8" t="inlineStr">
        <is>
          <t>No</t>
        </is>
      </c>
      <c r="AS8">
        <f>HYPERLINK("https://creighton-primo.hosted.exlibrisgroup.com/primo-explore/search?tab=default_tab&amp;search_scope=EVERYTHING&amp;vid=01CRU&amp;lang=en_US&amp;offset=0&amp;query=any,contains,991002815769702656","Catalog Record")</f>
        <v/>
      </c>
      <c r="AT8">
        <f>HYPERLINK("http://www.worldcat.org/oclc/458982","WorldCat Record")</f>
        <v/>
      </c>
      <c r="AU8" t="inlineStr">
        <is>
          <t>1482504:eng</t>
        </is>
      </c>
      <c r="AV8" t="inlineStr">
        <is>
          <t>458982</t>
        </is>
      </c>
      <c r="AW8" t="inlineStr">
        <is>
          <t>991002815769702656</t>
        </is>
      </c>
      <c r="AX8" t="inlineStr">
        <is>
          <t>991002815769702656</t>
        </is>
      </c>
      <c r="AY8" t="inlineStr">
        <is>
          <t>2266061840002656</t>
        </is>
      </c>
      <c r="AZ8" t="inlineStr">
        <is>
          <t>BOOK</t>
        </is>
      </c>
      <c r="BC8" t="inlineStr">
        <is>
          <t>32285000351295</t>
        </is>
      </c>
      <c r="BD8" t="inlineStr">
        <is>
          <t>893616619</t>
        </is>
      </c>
    </row>
    <row r="9">
      <c r="A9" t="inlineStr">
        <is>
          <t>No</t>
        </is>
      </c>
      <c r="B9" t="inlineStr">
        <is>
          <t>NB1097.N5 C3 1967</t>
        </is>
      </c>
      <c r="C9" t="inlineStr">
        <is>
          <t>0                      NB 1097000N  5                  C  3           1967</t>
        </is>
      </c>
      <c r="D9" t="inlineStr">
        <is>
          <t>Yoruba religious carving : pagan &amp; Christian sculpture in Nigeria &amp; Dahomey / foreword by William Fagg.</t>
        </is>
      </c>
      <c r="F9" t="inlineStr">
        <is>
          <t>No</t>
        </is>
      </c>
      <c r="G9" t="inlineStr">
        <is>
          <t>1</t>
        </is>
      </c>
      <c r="H9" t="inlineStr">
        <is>
          <t>No</t>
        </is>
      </c>
      <c r="I9" t="inlineStr">
        <is>
          <t>No</t>
        </is>
      </c>
      <c r="J9" t="inlineStr">
        <is>
          <t>0</t>
        </is>
      </c>
      <c r="K9" t="inlineStr">
        <is>
          <t>Carroll, Kevin, 1920-1993.</t>
        </is>
      </c>
      <c r="L9" t="inlineStr">
        <is>
          <t>New York : Praeger, [1967, c1966]</t>
        </is>
      </c>
      <c r="M9" t="inlineStr">
        <is>
          <t>1967</t>
        </is>
      </c>
      <c r="N9" t="inlineStr">
        <is>
          <t>[1st ed.]</t>
        </is>
      </c>
      <c r="O9" t="inlineStr">
        <is>
          <t>eng</t>
        </is>
      </c>
      <c r="P9" t="inlineStr">
        <is>
          <t>nyu</t>
        </is>
      </c>
      <c r="R9" t="inlineStr">
        <is>
          <t xml:space="preserve">NB </t>
        </is>
      </c>
      <c r="S9" t="n">
        <v>10</v>
      </c>
      <c r="T9" t="n">
        <v>10</v>
      </c>
      <c r="U9" t="inlineStr">
        <is>
          <t>1999-12-13</t>
        </is>
      </c>
      <c r="V9" t="inlineStr">
        <is>
          <t>1999-12-13</t>
        </is>
      </c>
      <c r="W9" t="inlineStr">
        <is>
          <t>1994-12-14</t>
        </is>
      </c>
      <c r="X9" t="inlineStr">
        <is>
          <t>1994-12-14</t>
        </is>
      </c>
      <c r="Y9" t="n">
        <v>486</v>
      </c>
      <c r="Z9" t="n">
        <v>466</v>
      </c>
      <c r="AA9" t="n">
        <v>533</v>
      </c>
      <c r="AB9" t="n">
        <v>4</v>
      </c>
      <c r="AC9" t="n">
        <v>4</v>
      </c>
      <c r="AD9" t="n">
        <v>18</v>
      </c>
      <c r="AE9" t="n">
        <v>21</v>
      </c>
      <c r="AF9" t="n">
        <v>8</v>
      </c>
      <c r="AG9" t="n">
        <v>9</v>
      </c>
      <c r="AH9" t="n">
        <v>3</v>
      </c>
      <c r="AI9" t="n">
        <v>3</v>
      </c>
      <c r="AJ9" t="n">
        <v>8</v>
      </c>
      <c r="AK9" t="n">
        <v>10</v>
      </c>
      <c r="AL9" t="n">
        <v>3</v>
      </c>
      <c r="AM9" t="n">
        <v>3</v>
      </c>
      <c r="AN9" t="n">
        <v>0</v>
      </c>
      <c r="AO9" t="n">
        <v>0</v>
      </c>
      <c r="AP9" t="inlineStr">
        <is>
          <t>No</t>
        </is>
      </c>
      <c r="AQ9" t="inlineStr">
        <is>
          <t>Yes</t>
        </is>
      </c>
      <c r="AR9">
        <f>HYPERLINK("http://catalog.hathitrust.org/Record/001468121","HathiTrust Record")</f>
        <v/>
      </c>
      <c r="AS9">
        <f>HYPERLINK("https://creighton-primo.hosted.exlibrisgroup.com/primo-explore/search?tab=default_tab&amp;search_scope=EVERYTHING&amp;vid=01CRU&amp;lang=en_US&amp;offset=0&amp;query=any,contains,991002881079702656","Catalog Record")</f>
        <v/>
      </c>
      <c r="AT9">
        <f>HYPERLINK("http://www.worldcat.org/oclc/505718","WorldCat Record")</f>
        <v/>
      </c>
      <c r="AU9" t="inlineStr">
        <is>
          <t>1090474823:eng</t>
        </is>
      </c>
      <c r="AV9" t="inlineStr">
        <is>
          <t>505718</t>
        </is>
      </c>
      <c r="AW9" t="inlineStr">
        <is>
          <t>991002881079702656</t>
        </is>
      </c>
      <c r="AX9" t="inlineStr">
        <is>
          <t>991002881079702656</t>
        </is>
      </c>
      <c r="AY9" t="inlineStr">
        <is>
          <t>2263568400002656</t>
        </is>
      </c>
      <c r="AZ9" t="inlineStr">
        <is>
          <t>BOOK</t>
        </is>
      </c>
      <c r="BC9" t="inlineStr">
        <is>
          <t>32285001982528</t>
        </is>
      </c>
      <c r="BD9" t="inlineStr">
        <is>
          <t>893867825</t>
        </is>
      </c>
    </row>
    <row r="10">
      <c r="A10" t="inlineStr">
        <is>
          <t>No</t>
        </is>
      </c>
      <c r="B10" t="inlineStr">
        <is>
          <t>NB1097.W4 A69</t>
        </is>
      </c>
      <c r="C10" t="inlineStr">
        <is>
          <t>0                      NB 1097000W  4                  A  69</t>
        </is>
      </c>
      <c r="D10" t="inlineStr">
        <is>
          <t>African stone sculpture.</t>
        </is>
      </c>
      <c r="F10" t="inlineStr">
        <is>
          <t>No</t>
        </is>
      </c>
      <c r="G10" t="inlineStr">
        <is>
          <t>1</t>
        </is>
      </c>
      <c r="H10" t="inlineStr">
        <is>
          <t>No</t>
        </is>
      </c>
      <c r="I10" t="inlineStr">
        <is>
          <t>No</t>
        </is>
      </c>
      <c r="J10" t="inlineStr">
        <is>
          <t>0</t>
        </is>
      </c>
      <c r="K10" t="inlineStr">
        <is>
          <t>Allison, Philip.</t>
        </is>
      </c>
      <c r="L10" t="inlineStr">
        <is>
          <t>New York, Praeger [1968]</t>
        </is>
      </c>
      <c r="M10" t="inlineStr">
        <is>
          <t>1968</t>
        </is>
      </c>
      <c r="O10" t="inlineStr">
        <is>
          <t>eng</t>
        </is>
      </c>
      <c r="P10" t="inlineStr">
        <is>
          <t>nyu</t>
        </is>
      </c>
      <c r="R10" t="inlineStr">
        <is>
          <t xml:space="preserve">NB </t>
        </is>
      </c>
      <c r="S10" t="n">
        <v>7</v>
      </c>
      <c r="T10" t="n">
        <v>7</v>
      </c>
      <c r="U10" t="inlineStr">
        <is>
          <t>1997-09-24</t>
        </is>
      </c>
      <c r="V10" t="inlineStr">
        <is>
          <t>1997-09-24</t>
        </is>
      </c>
      <c r="W10" t="inlineStr">
        <is>
          <t>1992-10-20</t>
        </is>
      </c>
      <c r="X10" t="inlineStr">
        <is>
          <t>1992-10-20</t>
        </is>
      </c>
      <c r="Y10" t="n">
        <v>633</v>
      </c>
      <c r="Z10" t="n">
        <v>603</v>
      </c>
      <c r="AA10" t="n">
        <v>727</v>
      </c>
      <c r="AB10" t="n">
        <v>8</v>
      </c>
      <c r="AC10" t="n">
        <v>8</v>
      </c>
      <c r="AD10" t="n">
        <v>19</v>
      </c>
      <c r="AE10" t="n">
        <v>27</v>
      </c>
      <c r="AF10" t="n">
        <v>7</v>
      </c>
      <c r="AG10" t="n">
        <v>11</v>
      </c>
      <c r="AH10" t="n">
        <v>3</v>
      </c>
      <c r="AI10" t="n">
        <v>6</v>
      </c>
      <c r="AJ10" t="n">
        <v>6</v>
      </c>
      <c r="AK10" t="n">
        <v>10</v>
      </c>
      <c r="AL10" t="n">
        <v>5</v>
      </c>
      <c r="AM10" t="n">
        <v>5</v>
      </c>
      <c r="AN10" t="n">
        <v>0</v>
      </c>
      <c r="AO10" t="n">
        <v>0</v>
      </c>
      <c r="AP10" t="inlineStr">
        <is>
          <t>No</t>
        </is>
      </c>
      <c r="AQ10" t="inlineStr">
        <is>
          <t>Yes</t>
        </is>
      </c>
      <c r="AR10">
        <f>HYPERLINK("http://catalog.hathitrust.org/Record/000836243","HathiTrust Record")</f>
        <v/>
      </c>
      <c r="AS10">
        <f>HYPERLINK("https://creighton-primo.hosted.exlibrisgroup.com/primo-explore/search?tab=default_tab&amp;search_scope=EVERYTHING&amp;vid=01CRU&amp;lang=en_US&amp;offset=0&amp;query=any,contains,991002808429702656","Catalog Record")</f>
        <v/>
      </c>
      <c r="AT10">
        <f>HYPERLINK("http://www.worldcat.org/oclc/451442","WorldCat Record")</f>
        <v/>
      </c>
      <c r="AU10" t="inlineStr">
        <is>
          <t>1209631:eng</t>
        </is>
      </c>
      <c r="AV10" t="inlineStr">
        <is>
          <t>451442</t>
        </is>
      </c>
      <c r="AW10" t="inlineStr">
        <is>
          <t>991002808429702656</t>
        </is>
      </c>
      <c r="AX10" t="inlineStr">
        <is>
          <t>991002808429702656</t>
        </is>
      </c>
      <c r="AY10" t="inlineStr">
        <is>
          <t>2261166120002656</t>
        </is>
      </c>
      <c r="AZ10" t="inlineStr">
        <is>
          <t>BOOK</t>
        </is>
      </c>
      <c r="BC10" t="inlineStr">
        <is>
          <t>32285001372407</t>
        </is>
      </c>
      <c r="BD10" t="inlineStr">
        <is>
          <t>893886753</t>
        </is>
      </c>
    </row>
    <row r="11">
      <c r="A11" t="inlineStr">
        <is>
          <t>No</t>
        </is>
      </c>
      <c r="B11" t="inlineStr">
        <is>
          <t>NB1097.W4 B7</t>
        </is>
      </c>
      <c r="C11" t="inlineStr">
        <is>
          <t>0                      NB 1097000W  4                  B  7</t>
        </is>
      </c>
      <c r="D11" t="inlineStr">
        <is>
          <t>West African sculpture, by René A. Bravmann.</t>
        </is>
      </c>
      <c r="F11" t="inlineStr">
        <is>
          <t>No</t>
        </is>
      </c>
      <c r="G11" t="inlineStr">
        <is>
          <t>1</t>
        </is>
      </c>
      <c r="H11" t="inlineStr">
        <is>
          <t>No</t>
        </is>
      </c>
      <c r="I11" t="inlineStr">
        <is>
          <t>No</t>
        </is>
      </c>
      <c r="J11" t="inlineStr">
        <is>
          <t>0</t>
        </is>
      </c>
      <c r="K11" t="inlineStr">
        <is>
          <t>Bravmann, René A.</t>
        </is>
      </c>
      <c r="L11" t="inlineStr">
        <is>
          <t>Seattle, Published for the Henry Art Gallery by the University of Washington Press [1970]</t>
        </is>
      </c>
      <c r="M11" t="inlineStr">
        <is>
          <t>1970</t>
        </is>
      </c>
      <c r="O11" t="inlineStr">
        <is>
          <t>eng</t>
        </is>
      </c>
      <c r="P11" t="inlineStr">
        <is>
          <t>wau</t>
        </is>
      </c>
      <c r="Q11" t="inlineStr">
        <is>
          <t>Index of art in the Pacific Northwest ; no. 1</t>
        </is>
      </c>
      <c r="R11" t="inlineStr">
        <is>
          <t xml:space="preserve">NB </t>
        </is>
      </c>
      <c r="S11" t="n">
        <v>12</v>
      </c>
      <c r="T11" t="n">
        <v>12</v>
      </c>
      <c r="U11" t="inlineStr">
        <is>
          <t>1999-09-12</t>
        </is>
      </c>
      <c r="V11" t="inlineStr">
        <is>
          <t>1999-09-12</t>
        </is>
      </c>
      <c r="W11" t="inlineStr">
        <is>
          <t>1992-10-20</t>
        </is>
      </c>
      <c r="X11" t="inlineStr">
        <is>
          <t>1992-10-20</t>
        </is>
      </c>
      <c r="Y11" t="n">
        <v>425</v>
      </c>
      <c r="Z11" t="n">
        <v>374</v>
      </c>
      <c r="AA11" t="n">
        <v>378</v>
      </c>
      <c r="AB11" t="n">
        <v>4</v>
      </c>
      <c r="AC11" t="n">
        <v>4</v>
      </c>
      <c r="AD11" t="n">
        <v>11</v>
      </c>
      <c r="AE11" t="n">
        <v>11</v>
      </c>
      <c r="AF11" t="n">
        <v>1</v>
      </c>
      <c r="AG11" t="n">
        <v>1</v>
      </c>
      <c r="AH11" t="n">
        <v>3</v>
      </c>
      <c r="AI11" t="n">
        <v>3</v>
      </c>
      <c r="AJ11" t="n">
        <v>5</v>
      </c>
      <c r="AK11" t="n">
        <v>5</v>
      </c>
      <c r="AL11" t="n">
        <v>3</v>
      </c>
      <c r="AM11" t="n">
        <v>3</v>
      </c>
      <c r="AN11" t="n">
        <v>0</v>
      </c>
      <c r="AO11" t="n">
        <v>0</v>
      </c>
      <c r="AP11" t="inlineStr">
        <is>
          <t>No</t>
        </is>
      </c>
      <c r="AQ11" t="inlineStr">
        <is>
          <t>Yes</t>
        </is>
      </c>
      <c r="AR11">
        <f>HYPERLINK("http://catalog.hathitrust.org/Record/000694599","HathiTrust Record")</f>
        <v/>
      </c>
      <c r="AS11">
        <f>HYPERLINK("https://creighton-primo.hosted.exlibrisgroup.com/primo-explore/search?tab=default_tab&amp;search_scope=EVERYTHING&amp;vid=01CRU&amp;lang=en_US&amp;offset=0&amp;query=any,contains,991002859169702656","Catalog Record")</f>
        <v/>
      </c>
      <c r="AT11">
        <f>HYPERLINK("http://www.worldcat.org/oclc/491928","WorldCat Record")</f>
        <v/>
      </c>
      <c r="AU11" t="inlineStr">
        <is>
          <t>1583762:eng</t>
        </is>
      </c>
      <c r="AV11" t="inlineStr">
        <is>
          <t>491928</t>
        </is>
      </c>
      <c r="AW11" t="inlineStr">
        <is>
          <t>991002859169702656</t>
        </is>
      </c>
      <c r="AX11" t="inlineStr">
        <is>
          <t>991002859169702656</t>
        </is>
      </c>
      <c r="AY11" t="inlineStr">
        <is>
          <t>2256625090002656</t>
        </is>
      </c>
      <c r="AZ11" t="inlineStr">
        <is>
          <t>BOOK</t>
        </is>
      </c>
      <c r="BB11" t="inlineStr">
        <is>
          <t>9780295950853</t>
        </is>
      </c>
      <c r="BC11" t="inlineStr">
        <is>
          <t>32285001372415</t>
        </is>
      </c>
      <c r="BD11" t="inlineStr">
        <is>
          <t>893780327</t>
        </is>
      </c>
    </row>
    <row r="12">
      <c r="A12" t="inlineStr">
        <is>
          <t>No</t>
        </is>
      </c>
      <c r="B12" t="inlineStr">
        <is>
          <t>NB1098 .A753</t>
        </is>
      </c>
      <c r="C12" t="inlineStr">
        <is>
          <t>0                      NB 1098000A  753</t>
        </is>
      </c>
      <c r="D12" t="inlineStr">
        <is>
          <t>The powers of presence : consciousness, myth, and affecting presence / Robert Plant Armstrong.</t>
        </is>
      </c>
      <c r="F12" t="inlineStr">
        <is>
          <t>No</t>
        </is>
      </c>
      <c r="G12" t="inlineStr">
        <is>
          <t>1</t>
        </is>
      </c>
      <c r="H12" t="inlineStr">
        <is>
          <t>No</t>
        </is>
      </c>
      <c r="I12" t="inlineStr">
        <is>
          <t>No</t>
        </is>
      </c>
      <c r="J12" t="inlineStr">
        <is>
          <t>0</t>
        </is>
      </c>
      <c r="K12" t="inlineStr">
        <is>
          <t>Armstrong, Robert Plant.</t>
        </is>
      </c>
      <c r="L12" t="inlineStr">
        <is>
          <t>Philadelphia : University of Pennsylvania Press, 1981.</t>
        </is>
      </c>
      <c r="M12" t="inlineStr">
        <is>
          <t>1981</t>
        </is>
      </c>
      <c r="O12" t="inlineStr">
        <is>
          <t>eng</t>
        </is>
      </c>
      <c r="P12" t="inlineStr">
        <is>
          <t>pau</t>
        </is>
      </c>
      <c r="R12" t="inlineStr">
        <is>
          <t xml:space="preserve">NB </t>
        </is>
      </c>
      <c r="S12" t="n">
        <v>11</v>
      </c>
      <c r="T12" t="n">
        <v>11</v>
      </c>
      <c r="U12" t="inlineStr">
        <is>
          <t>1998-06-24</t>
        </is>
      </c>
      <c r="V12" t="inlineStr">
        <is>
          <t>1998-06-24</t>
        </is>
      </c>
      <c r="W12" t="inlineStr">
        <is>
          <t>1993-05-18</t>
        </is>
      </c>
      <c r="X12" t="inlineStr">
        <is>
          <t>1993-05-18</t>
        </is>
      </c>
      <c r="Y12" t="n">
        <v>443</v>
      </c>
      <c r="Z12" t="n">
        <v>385</v>
      </c>
      <c r="AA12" t="n">
        <v>557</v>
      </c>
      <c r="AB12" t="n">
        <v>3</v>
      </c>
      <c r="AC12" t="n">
        <v>3</v>
      </c>
      <c r="AD12" t="n">
        <v>19</v>
      </c>
      <c r="AE12" t="n">
        <v>29</v>
      </c>
      <c r="AF12" t="n">
        <v>8</v>
      </c>
      <c r="AG12" t="n">
        <v>14</v>
      </c>
      <c r="AH12" t="n">
        <v>6</v>
      </c>
      <c r="AI12" t="n">
        <v>9</v>
      </c>
      <c r="AJ12" t="n">
        <v>10</v>
      </c>
      <c r="AK12" t="n">
        <v>14</v>
      </c>
      <c r="AL12" t="n">
        <v>2</v>
      </c>
      <c r="AM12" t="n">
        <v>2</v>
      </c>
      <c r="AN12" t="n">
        <v>0</v>
      </c>
      <c r="AO12" t="n">
        <v>0</v>
      </c>
      <c r="AP12" t="inlineStr">
        <is>
          <t>No</t>
        </is>
      </c>
      <c r="AQ12" t="inlineStr">
        <is>
          <t>No</t>
        </is>
      </c>
      <c r="AS12">
        <f>HYPERLINK("https://creighton-primo.hosted.exlibrisgroup.com/primo-explore/search?tab=default_tab&amp;search_scope=EVERYTHING&amp;vid=01CRU&amp;lang=en_US&amp;offset=0&amp;query=any,contains,991005130469702656","Catalog Record")</f>
        <v/>
      </c>
      <c r="AT12">
        <f>HYPERLINK("http://www.worldcat.org/oclc/7571964","WorldCat Record")</f>
        <v/>
      </c>
      <c r="AU12" t="inlineStr">
        <is>
          <t>890548230:eng</t>
        </is>
      </c>
      <c r="AV12" t="inlineStr">
        <is>
          <t>7571964</t>
        </is>
      </c>
      <c r="AW12" t="inlineStr">
        <is>
          <t>991005130469702656</t>
        </is>
      </c>
      <c r="AX12" t="inlineStr">
        <is>
          <t>991005130469702656</t>
        </is>
      </c>
      <c r="AY12" t="inlineStr">
        <is>
          <t>2272022120002656</t>
        </is>
      </c>
      <c r="AZ12" t="inlineStr">
        <is>
          <t>BOOK</t>
        </is>
      </c>
      <c r="BB12" t="inlineStr">
        <is>
          <t>9780812278040</t>
        </is>
      </c>
      <c r="BC12" t="inlineStr">
        <is>
          <t>32285001659456</t>
        </is>
      </c>
      <c r="BD12" t="inlineStr">
        <is>
          <t>893713489</t>
        </is>
      </c>
    </row>
    <row r="13">
      <c r="A13" t="inlineStr">
        <is>
          <t>No</t>
        </is>
      </c>
      <c r="B13" t="inlineStr">
        <is>
          <t>NB1099.C6 A78 1991</t>
        </is>
      </c>
      <c r="C13" t="inlineStr">
        <is>
          <t>0                      NB 1099000C  6                  A  78          1991</t>
        </is>
      </c>
      <c r="D13" t="inlineStr">
        <is>
          <t>Art and healing of the Bakongo, commented by themselves : minkisi from the Laman collection / Kikongo texts translated and edited by Wyatt MacGaffey.</t>
        </is>
      </c>
      <c r="F13" t="inlineStr">
        <is>
          <t>No</t>
        </is>
      </c>
      <c r="G13" t="inlineStr">
        <is>
          <t>1</t>
        </is>
      </c>
      <c r="H13" t="inlineStr">
        <is>
          <t>No</t>
        </is>
      </c>
      <c r="I13" t="inlineStr">
        <is>
          <t>No</t>
        </is>
      </c>
      <c r="J13" t="inlineStr">
        <is>
          <t>0</t>
        </is>
      </c>
      <c r="L13" t="inlineStr">
        <is>
          <t>Stockholm : Folkens Museum-Etnografiska ; Bloomington, IN : distributed in North America by Indiana University Press, c1991.</t>
        </is>
      </c>
      <c r="M13" t="inlineStr">
        <is>
          <t>1991</t>
        </is>
      </c>
      <c r="O13" t="inlineStr">
        <is>
          <t>eng</t>
        </is>
      </c>
      <c r="P13" t="inlineStr">
        <is>
          <t xml:space="preserve">sw </t>
        </is>
      </c>
      <c r="R13" t="inlineStr">
        <is>
          <t xml:space="preserve">NB </t>
        </is>
      </c>
      <c r="S13" t="n">
        <v>8</v>
      </c>
      <c r="T13" t="n">
        <v>8</v>
      </c>
      <c r="U13" t="inlineStr">
        <is>
          <t>1995-10-12</t>
        </is>
      </c>
      <c r="V13" t="inlineStr">
        <is>
          <t>1995-10-12</t>
        </is>
      </c>
      <c r="W13" t="inlineStr">
        <is>
          <t>1991-12-16</t>
        </is>
      </c>
      <c r="X13" t="inlineStr">
        <is>
          <t>1991-12-16</t>
        </is>
      </c>
      <c r="Y13" t="n">
        <v>207</v>
      </c>
      <c r="Z13" t="n">
        <v>175</v>
      </c>
      <c r="AA13" t="n">
        <v>176</v>
      </c>
      <c r="AB13" t="n">
        <v>2</v>
      </c>
      <c r="AC13" t="n">
        <v>2</v>
      </c>
      <c r="AD13" t="n">
        <v>5</v>
      </c>
      <c r="AE13" t="n">
        <v>5</v>
      </c>
      <c r="AF13" t="n">
        <v>1</v>
      </c>
      <c r="AG13" t="n">
        <v>1</v>
      </c>
      <c r="AH13" t="n">
        <v>2</v>
      </c>
      <c r="AI13" t="n">
        <v>2</v>
      </c>
      <c r="AJ13" t="n">
        <v>2</v>
      </c>
      <c r="AK13" t="n">
        <v>2</v>
      </c>
      <c r="AL13" t="n">
        <v>1</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HYPERLINK("https://creighton-primo.hosted.exlibrisgroup.com/primo-explore/search?tab=default_tab&amp;search_scope=EVERYTHING&amp;vid=01CRU&amp;lang=en_US&amp;offset=0&amp;query=any,contains,991001922789702656","Catalog Record")</f>
        <v/>
      </c>
      <c r="AT13">
        <f>HYPERLINK("http://www.worldcat.org/oclc/24281129","WorldCat Record")</f>
        <v/>
      </c>
      <c r="AU13" t="inlineStr">
        <is>
          <t>26815995:eng</t>
        </is>
      </c>
      <c r="AV13" t="inlineStr">
        <is>
          <t>24281129</t>
        </is>
      </c>
      <c r="AW13" t="inlineStr">
        <is>
          <t>991001922789702656</t>
        </is>
      </c>
      <c r="AX13" t="inlineStr">
        <is>
          <t>991001922789702656</t>
        </is>
      </c>
      <c r="AY13" t="inlineStr">
        <is>
          <t>2262821580002656</t>
        </is>
      </c>
      <c r="AZ13" t="inlineStr">
        <is>
          <t>BOOK</t>
        </is>
      </c>
      <c r="BB13" t="inlineStr">
        <is>
          <t>9789185344246</t>
        </is>
      </c>
      <c r="BC13" t="inlineStr">
        <is>
          <t>32285000860675</t>
        </is>
      </c>
      <c r="BD13" t="inlineStr">
        <is>
          <t>893684762</t>
        </is>
      </c>
    </row>
    <row r="14">
      <c r="A14" t="inlineStr">
        <is>
          <t>No</t>
        </is>
      </c>
      <c r="B14" t="inlineStr">
        <is>
          <t>NB1099.N5 F34</t>
        </is>
      </c>
      <c r="C14" t="inlineStr">
        <is>
          <t>0                      NB 1099000N  5                  F  34</t>
        </is>
      </c>
      <c r="D14" t="inlineStr">
        <is>
          <t>Yoruba, sculpture of West Africa / text by William Fagg ; descriptive catalogue by John Pemberton 3rd ; edited by Bryce Holcombe.</t>
        </is>
      </c>
      <c r="F14" t="inlineStr">
        <is>
          <t>No</t>
        </is>
      </c>
      <c r="G14" t="inlineStr">
        <is>
          <t>1</t>
        </is>
      </c>
      <c r="H14" t="inlineStr">
        <is>
          <t>No</t>
        </is>
      </c>
      <c r="I14" t="inlineStr">
        <is>
          <t>No</t>
        </is>
      </c>
      <c r="J14" t="inlineStr">
        <is>
          <t>0</t>
        </is>
      </c>
      <c r="K14" t="inlineStr">
        <is>
          <t>Fagg, William, 1914-1992.</t>
        </is>
      </c>
      <c r="L14" t="inlineStr">
        <is>
          <t>New York : Knopf : Distributed by Random House, 1982.</t>
        </is>
      </c>
      <c r="M14" t="inlineStr">
        <is>
          <t>1982</t>
        </is>
      </c>
      <c r="N14" t="inlineStr">
        <is>
          <t>1st ed.</t>
        </is>
      </c>
      <c r="O14" t="inlineStr">
        <is>
          <t>eng</t>
        </is>
      </c>
      <c r="P14" t="inlineStr">
        <is>
          <t>nyu</t>
        </is>
      </c>
      <c r="R14" t="inlineStr">
        <is>
          <t xml:space="preserve">NB </t>
        </is>
      </c>
      <c r="S14" t="n">
        <v>18</v>
      </c>
      <c r="T14" t="n">
        <v>18</v>
      </c>
      <c r="U14" t="inlineStr">
        <is>
          <t>1999-12-13</t>
        </is>
      </c>
      <c r="V14" t="inlineStr">
        <is>
          <t>1999-12-13</t>
        </is>
      </c>
      <c r="W14" t="inlineStr">
        <is>
          <t>1995-01-25</t>
        </is>
      </c>
      <c r="X14" t="inlineStr">
        <is>
          <t>1995-01-25</t>
        </is>
      </c>
      <c r="Y14" t="n">
        <v>608</v>
      </c>
      <c r="Z14" t="n">
        <v>546</v>
      </c>
      <c r="AA14" t="n">
        <v>583</v>
      </c>
      <c r="AB14" t="n">
        <v>3</v>
      </c>
      <c r="AC14" t="n">
        <v>3</v>
      </c>
      <c r="AD14" t="n">
        <v>17</v>
      </c>
      <c r="AE14" t="n">
        <v>18</v>
      </c>
      <c r="AF14" t="n">
        <v>6</v>
      </c>
      <c r="AG14" t="n">
        <v>6</v>
      </c>
      <c r="AH14" t="n">
        <v>5</v>
      </c>
      <c r="AI14" t="n">
        <v>6</v>
      </c>
      <c r="AJ14" t="n">
        <v>9</v>
      </c>
      <c r="AK14" t="n">
        <v>9</v>
      </c>
      <c r="AL14" t="n">
        <v>2</v>
      </c>
      <c r="AM14" t="n">
        <v>2</v>
      </c>
      <c r="AN14" t="n">
        <v>0</v>
      </c>
      <c r="AO14" t="n">
        <v>0</v>
      </c>
      <c r="AP14" t="inlineStr">
        <is>
          <t>No</t>
        </is>
      </c>
      <c r="AQ14" t="inlineStr">
        <is>
          <t>Yes</t>
        </is>
      </c>
      <c r="AR14">
        <f>HYPERLINK("http://catalog.hathitrust.org/Record/008510684","HathiTrust Record")</f>
        <v/>
      </c>
      <c r="AS14">
        <f>HYPERLINK("https://creighton-primo.hosted.exlibrisgroup.com/primo-explore/search?tab=default_tab&amp;search_scope=EVERYTHING&amp;vid=01CRU&amp;lang=en_US&amp;offset=0&amp;query=any,contains,991005190809702656","Catalog Record")</f>
        <v/>
      </c>
      <c r="AT14">
        <f>HYPERLINK("http://www.worldcat.org/oclc/7998836","WorldCat Record")</f>
        <v/>
      </c>
      <c r="AU14" t="inlineStr">
        <is>
          <t>463979:eng</t>
        </is>
      </c>
      <c r="AV14" t="inlineStr">
        <is>
          <t>7998836</t>
        </is>
      </c>
      <c r="AW14" t="inlineStr">
        <is>
          <t>991005190809702656</t>
        </is>
      </c>
      <c r="AX14" t="inlineStr">
        <is>
          <t>991005190809702656</t>
        </is>
      </c>
      <c r="AY14" t="inlineStr">
        <is>
          <t>2257742930002656</t>
        </is>
      </c>
      <c r="AZ14" t="inlineStr">
        <is>
          <t>BOOK</t>
        </is>
      </c>
      <c r="BB14" t="inlineStr">
        <is>
          <t>9780394523583</t>
        </is>
      </c>
      <c r="BC14" t="inlineStr">
        <is>
          <t>32285001779015</t>
        </is>
      </c>
      <c r="BD14" t="inlineStr">
        <is>
          <t>893713607</t>
        </is>
      </c>
    </row>
    <row r="15">
      <c r="A15" t="inlineStr">
        <is>
          <t>No</t>
        </is>
      </c>
      <c r="B15" t="inlineStr">
        <is>
          <t>NB1111.M4 S3</t>
        </is>
      </c>
      <c r="C15" t="inlineStr">
        <is>
          <t>0                      NB 1111000M  4                  S  3</t>
        </is>
      </c>
      <c r="D15" t="inlineStr">
        <is>
          <t>Oceanic sculpture : sculpture of Melanesia / photographed by F.L. Kenett.</t>
        </is>
      </c>
      <c r="F15" t="inlineStr">
        <is>
          <t>No</t>
        </is>
      </c>
      <c r="G15" t="inlineStr">
        <is>
          <t>1</t>
        </is>
      </c>
      <c r="H15" t="inlineStr">
        <is>
          <t>No</t>
        </is>
      </c>
      <c r="I15" t="inlineStr">
        <is>
          <t>No</t>
        </is>
      </c>
      <c r="J15" t="inlineStr">
        <is>
          <t>0</t>
        </is>
      </c>
      <c r="K15" t="inlineStr">
        <is>
          <t>Schmitz, Carl August.</t>
        </is>
      </c>
      <c r="L15" t="inlineStr">
        <is>
          <t>Greenwich, Conn. : New York Graphic Society, [1962]</t>
        </is>
      </c>
      <c r="M15" t="inlineStr">
        <is>
          <t>1962</t>
        </is>
      </c>
      <c r="O15" t="inlineStr">
        <is>
          <t>eng</t>
        </is>
      </c>
      <c r="P15" t="inlineStr">
        <is>
          <t>ctu</t>
        </is>
      </c>
      <c r="Q15" t="inlineStr">
        <is>
          <t>The Acanthus history of sculpture</t>
        </is>
      </c>
      <c r="R15" t="inlineStr">
        <is>
          <t xml:space="preserve">NB </t>
        </is>
      </c>
      <c r="S15" t="n">
        <v>3</v>
      </c>
      <c r="T15" t="n">
        <v>3</v>
      </c>
      <c r="U15" t="inlineStr">
        <is>
          <t>1994-06-20</t>
        </is>
      </c>
      <c r="V15" t="inlineStr">
        <is>
          <t>1994-06-20</t>
        </is>
      </c>
      <c r="W15" t="inlineStr">
        <is>
          <t>1992-02-07</t>
        </is>
      </c>
      <c r="X15" t="inlineStr">
        <is>
          <t>1992-02-07</t>
        </is>
      </c>
      <c r="Y15" t="n">
        <v>634</v>
      </c>
      <c r="Z15" t="n">
        <v>595</v>
      </c>
      <c r="AA15" t="n">
        <v>628</v>
      </c>
      <c r="AB15" t="n">
        <v>5</v>
      </c>
      <c r="AC15" t="n">
        <v>5</v>
      </c>
      <c r="AD15" t="n">
        <v>22</v>
      </c>
      <c r="AE15" t="n">
        <v>22</v>
      </c>
      <c r="AF15" t="n">
        <v>11</v>
      </c>
      <c r="AG15" t="n">
        <v>11</v>
      </c>
      <c r="AH15" t="n">
        <v>3</v>
      </c>
      <c r="AI15" t="n">
        <v>3</v>
      </c>
      <c r="AJ15" t="n">
        <v>9</v>
      </c>
      <c r="AK15" t="n">
        <v>9</v>
      </c>
      <c r="AL15" t="n">
        <v>3</v>
      </c>
      <c r="AM15" t="n">
        <v>3</v>
      </c>
      <c r="AN15" t="n">
        <v>0</v>
      </c>
      <c r="AO15" t="n">
        <v>0</v>
      </c>
      <c r="AP15" t="inlineStr">
        <is>
          <t>No</t>
        </is>
      </c>
      <c r="AQ15" t="inlineStr">
        <is>
          <t>No</t>
        </is>
      </c>
      <c r="AS15">
        <f>HYPERLINK("https://creighton-primo.hosted.exlibrisgroup.com/primo-explore/search?tab=default_tab&amp;search_scope=EVERYTHING&amp;vid=01CRU&amp;lang=en_US&amp;offset=0&amp;query=any,contains,991002931929702656","Catalog Record")</f>
        <v/>
      </c>
      <c r="AT15">
        <f>HYPERLINK("http://www.worldcat.org/oclc/531107","WorldCat Record")</f>
        <v/>
      </c>
      <c r="AU15" t="inlineStr">
        <is>
          <t>14749107:eng</t>
        </is>
      </c>
      <c r="AV15" t="inlineStr">
        <is>
          <t>531107</t>
        </is>
      </c>
      <c r="AW15" t="inlineStr">
        <is>
          <t>991002931929702656</t>
        </is>
      </c>
      <c r="AX15" t="inlineStr">
        <is>
          <t>991002931929702656</t>
        </is>
      </c>
      <c r="AY15" t="inlineStr">
        <is>
          <t>2262926010002656</t>
        </is>
      </c>
      <c r="AZ15" t="inlineStr">
        <is>
          <t>BOOK</t>
        </is>
      </c>
      <c r="BC15" t="inlineStr">
        <is>
          <t>32285000950237</t>
        </is>
      </c>
      <c r="BD15" t="inlineStr">
        <is>
          <t>893685967</t>
        </is>
      </c>
    </row>
    <row r="16">
      <c r="A16" t="inlineStr">
        <is>
          <t>No</t>
        </is>
      </c>
      <c r="B16" t="inlineStr">
        <is>
          <t>NB1135 .S3</t>
        </is>
      </c>
      <c r="C16" t="inlineStr">
        <is>
          <t>0                      NB 1135000S  3</t>
        </is>
      </c>
      <c r="D16" t="inlineStr">
        <is>
          <t>The hand and eye of the sculptor. Text and photos. by Paul Waldo Schwartz.</t>
        </is>
      </c>
      <c r="F16" t="inlineStr">
        <is>
          <t>No</t>
        </is>
      </c>
      <c r="G16" t="inlineStr">
        <is>
          <t>1</t>
        </is>
      </c>
      <c r="H16" t="inlineStr">
        <is>
          <t>No</t>
        </is>
      </c>
      <c r="I16" t="inlineStr">
        <is>
          <t>No</t>
        </is>
      </c>
      <c r="J16" t="inlineStr">
        <is>
          <t>0</t>
        </is>
      </c>
      <c r="K16" t="inlineStr">
        <is>
          <t>Schwartz, Paul Waldo.</t>
        </is>
      </c>
      <c r="L16" t="inlineStr">
        <is>
          <t>New York, Praeger [1969]</t>
        </is>
      </c>
      <c r="M16" t="inlineStr">
        <is>
          <t>1969</t>
        </is>
      </c>
      <c r="O16" t="inlineStr">
        <is>
          <t>eng</t>
        </is>
      </c>
      <c r="P16" t="inlineStr">
        <is>
          <t>nyu</t>
        </is>
      </c>
      <c r="R16" t="inlineStr">
        <is>
          <t xml:space="preserve">NB </t>
        </is>
      </c>
      <c r="S16" t="n">
        <v>6</v>
      </c>
      <c r="T16" t="n">
        <v>6</v>
      </c>
      <c r="U16" t="inlineStr">
        <is>
          <t>2000-04-18</t>
        </is>
      </c>
      <c r="V16" t="inlineStr">
        <is>
          <t>2000-04-18</t>
        </is>
      </c>
      <c r="W16" t="inlineStr">
        <is>
          <t>1997-07-03</t>
        </is>
      </c>
      <c r="X16" t="inlineStr">
        <is>
          <t>1997-07-03</t>
        </is>
      </c>
      <c r="Y16" t="n">
        <v>593</v>
      </c>
      <c r="Z16" t="n">
        <v>544</v>
      </c>
      <c r="AA16" t="n">
        <v>554</v>
      </c>
      <c r="AB16" t="n">
        <v>6</v>
      </c>
      <c r="AC16" t="n">
        <v>6</v>
      </c>
      <c r="AD16" t="n">
        <v>21</v>
      </c>
      <c r="AE16" t="n">
        <v>21</v>
      </c>
      <c r="AF16" t="n">
        <v>8</v>
      </c>
      <c r="AG16" t="n">
        <v>8</v>
      </c>
      <c r="AH16" t="n">
        <v>3</v>
      </c>
      <c r="AI16" t="n">
        <v>3</v>
      </c>
      <c r="AJ16" t="n">
        <v>8</v>
      </c>
      <c r="AK16" t="n">
        <v>8</v>
      </c>
      <c r="AL16" t="n">
        <v>5</v>
      </c>
      <c r="AM16" t="n">
        <v>5</v>
      </c>
      <c r="AN16" t="n">
        <v>0</v>
      </c>
      <c r="AO16" t="n">
        <v>0</v>
      </c>
      <c r="AP16" t="inlineStr">
        <is>
          <t>No</t>
        </is>
      </c>
      <c r="AQ16" t="inlineStr">
        <is>
          <t>Yes</t>
        </is>
      </c>
      <c r="AR16">
        <f>HYPERLINK("http://catalog.hathitrust.org/Record/001982047","HathiTrust Record")</f>
        <v/>
      </c>
      <c r="AS16">
        <f>HYPERLINK("https://creighton-primo.hosted.exlibrisgroup.com/primo-explore/search?tab=default_tab&amp;search_scope=EVERYTHING&amp;vid=01CRU&amp;lang=en_US&amp;offset=0&amp;query=any,contains,991000088449702656","Catalog Record")</f>
        <v/>
      </c>
      <c r="AT16">
        <f>HYPERLINK("http://www.worldcat.org/oclc/34533","WorldCat Record")</f>
        <v/>
      </c>
      <c r="AU16" t="inlineStr">
        <is>
          <t>1193694:eng</t>
        </is>
      </c>
      <c r="AV16" t="inlineStr">
        <is>
          <t>34533</t>
        </is>
      </c>
      <c r="AW16" t="inlineStr">
        <is>
          <t>991000088449702656</t>
        </is>
      </c>
      <c r="AX16" t="inlineStr">
        <is>
          <t>991000088449702656</t>
        </is>
      </c>
      <c r="AY16" t="inlineStr">
        <is>
          <t>2261847540002656</t>
        </is>
      </c>
      <c r="AZ16" t="inlineStr">
        <is>
          <t>BOOK</t>
        </is>
      </c>
      <c r="BC16" t="inlineStr">
        <is>
          <t>32285002864030</t>
        </is>
      </c>
      <c r="BD16" t="inlineStr">
        <is>
          <t>893701834</t>
        </is>
      </c>
    </row>
    <row r="17">
      <c r="A17" t="inlineStr">
        <is>
          <t>No</t>
        </is>
      </c>
      <c r="B17" t="inlineStr">
        <is>
          <t>NB1142.5 .P68 2000</t>
        </is>
      </c>
      <c r="C17" t="inlineStr">
        <is>
          <t>0                      NB 1142500P  68          2000</t>
        </is>
      </c>
      <c r="D17" t="inlineStr">
        <is>
          <t>The sculptural imagination : figurative, modernist, minimalist / Alex Potts.</t>
        </is>
      </c>
      <c r="F17" t="inlineStr">
        <is>
          <t>No</t>
        </is>
      </c>
      <c r="G17" t="inlineStr">
        <is>
          <t>1</t>
        </is>
      </c>
      <c r="H17" t="inlineStr">
        <is>
          <t>No</t>
        </is>
      </c>
      <c r="I17" t="inlineStr">
        <is>
          <t>No</t>
        </is>
      </c>
      <c r="J17" t="inlineStr">
        <is>
          <t>0</t>
        </is>
      </c>
      <c r="K17" t="inlineStr">
        <is>
          <t>Potts, Alex.</t>
        </is>
      </c>
      <c r="L17" t="inlineStr">
        <is>
          <t>New Haven : Yale University Press, c2000.</t>
        </is>
      </c>
      <c r="M17" t="inlineStr">
        <is>
          <t>2000</t>
        </is>
      </c>
      <c r="O17" t="inlineStr">
        <is>
          <t>eng</t>
        </is>
      </c>
      <c r="P17" t="inlineStr">
        <is>
          <t>ctu</t>
        </is>
      </c>
      <c r="R17" t="inlineStr">
        <is>
          <t xml:space="preserve">NB </t>
        </is>
      </c>
      <c r="S17" t="n">
        <v>5</v>
      </c>
      <c r="T17" t="n">
        <v>5</v>
      </c>
      <c r="U17" t="inlineStr">
        <is>
          <t>2002-05-09</t>
        </is>
      </c>
      <c r="V17" t="inlineStr">
        <is>
          <t>2002-05-09</t>
        </is>
      </c>
      <c r="W17" t="inlineStr">
        <is>
          <t>2002-04-30</t>
        </is>
      </c>
      <c r="X17" t="inlineStr">
        <is>
          <t>2002-04-30</t>
        </is>
      </c>
      <c r="Y17" t="n">
        <v>612</v>
      </c>
      <c r="Z17" t="n">
        <v>446</v>
      </c>
      <c r="AA17" t="n">
        <v>451</v>
      </c>
      <c r="AB17" t="n">
        <v>4</v>
      </c>
      <c r="AC17" t="n">
        <v>4</v>
      </c>
      <c r="AD17" t="n">
        <v>23</v>
      </c>
      <c r="AE17" t="n">
        <v>23</v>
      </c>
      <c r="AF17" t="n">
        <v>9</v>
      </c>
      <c r="AG17" t="n">
        <v>9</v>
      </c>
      <c r="AH17" t="n">
        <v>6</v>
      </c>
      <c r="AI17" t="n">
        <v>6</v>
      </c>
      <c r="AJ17" t="n">
        <v>10</v>
      </c>
      <c r="AK17" t="n">
        <v>10</v>
      </c>
      <c r="AL17" t="n">
        <v>3</v>
      </c>
      <c r="AM17" t="n">
        <v>3</v>
      </c>
      <c r="AN17" t="n">
        <v>0</v>
      </c>
      <c r="AO17" t="n">
        <v>0</v>
      </c>
      <c r="AP17" t="inlineStr">
        <is>
          <t>No</t>
        </is>
      </c>
      <c r="AQ17" t="inlineStr">
        <is>
          <t>No</t>
        </is>
      </c>
      <c r="AS17">
        <f>HYPERLINK("https://creighton-primo.hosted.exlibrisgroup.com/primo-explore/search?tab=default_tab&amp;search_scope=EVERYTHING&amp;vid=01CRU&amp;lang=en_US&amp;offset=0&amp;query=any,contains,991003781129702656","Catalog Record")</f>
        <v/>
      </c>
      <c r="AT17">
        <f>HYPERLINK("http://www.worldcat.org/oclc/44267810","WorldCat Record")</f>
        <v/>
      </c>
      <c r="AU17" t="inlineStr">
        <is>
          <t>837011200:eng</t>
        </is>
      </c>
      <c r="AV17" t="inlineStr">
        <is>
          <t>44267810</t>
        </is>
      </c>
      <c r="AW17" t="inlineStr">
        <is>
          <t>991003781129702656</t>
        </is>
      </c>
      <c r="AX17" t="inlineStr">
        <is>
          <t>991003781129702656</t>
        </is>
      </c>
      <c r="AY17" t="inlineStr">
        <is>
          <t>2264875290002656</t>
        </is>
      </c>
      <c r="AZ17" t="inlineStr">
        <is>
          <t>BOOK</t>
        </is>
      </c>
      <c r="BB17" t="inlineStr">
        <is>
          <t>9780300088014</t>
        </is>
      </c>
      <c r="BC17" t="inlineStr">
        <is>
          <t>32285004485099</t>
        </is>
      </c>
      <c r="BD17" t="inlineStr">
        <is>
          <t>893330794</t>
        </is>
      </c>
    </row>
    <row r="18">
      <c r="A18" t="inlineStr">
        <is>
          <t>No</t>
        </is>
      </c>
      <c r="B18" t="inlineStr">
        <is>
          <t>NB115 .S79</t>
        </is>
      </c>
      <c r="C18" t="inlineStr">
        <is>
          <t>0                      NB 0115000S  79</t>
        </is>
      </c>
      <c r="D18" t="inlineStr">
        <is>
          <t>Roman imperial sculpture; an introduction to the commemorative and decorative sculpture of the Roman Empire down to the death of Constantine [by] D. E. Strong.</t>
        </is>
      </c>
      <c r="F18" t="inlineStr">
        <is>
          <t>No</t>
        </is>
      </c>
      <c r="G18" t="inlineStr">
        <is>
          <t>1</t>
        </is>
      </c>
      <c r="H18" t="inlineStr">
        <is>
          <t>No</t>
        </is>
      </c>
      <c r="I18" t="inlineStr">
        <is>
          <t>No</t>
        </is>
      </c>
      <c r="J18" t="inlineStr">
        <is>
          <t>0</t>
        </is>
      </c>
      <c r="K18" t="inlineStr">
        <is>
          <t>Strong, Donald Emrys.</t>
        </is>
      </c>
      <c r="L18" t="inlineStr">
        <is>
          <t>London, A. Tiranti, 1961.</t>
        </is>
      </c>
      <c r="M18" t="inlineStr">
        <is>
          <t>1961</t>
        </is>
      </c>
      <c r="O18" t="inlineStr">
        <is>
          <t>eng</t>
        </is>
      </c>
      <c r="P18" t="inlineStr">
        <is>
          <t>enk</t>
        </is>
      </c>
      <c r="R18" t="inlineStr">
        <is>
          <t xml:space="preserve">NB </t>
        </is>
      </c>
      <c r="S18" t="n">
        <v>2</v>
      </c>
      <c r="T18" t="n">
        <v>2</v>
      </c>
      <c r="U18" t="inlineStr">
        <is>
          <t>2008-04-22</t>
        </is>
      </c>
      <c r="V18" t="inlineStr">
        <is>
          <t>2008-04-22</t>
        </is>
      </c>
      <c r="W18" t="inlineStr">
        <is>
          <t>1997-07-03</t>
        </is>
      </c>
      <c r="X18" t="inlineStr">
        <is>
          <t>1997-07-03</t>
        </is>
      </c>
      <c r="Y18" t="n">
        <v>502</v>
      </c>
      <c r="Z18" t="n">
        <v>380</v>
      </c>
      <c r="AA18" t="n">
        <v>461</v>
      </c>
      <c r="AB18" t="n">
        <v>4</v>
      </c>
      <c r="AC18" t="n">
        <v>4</v>
      </c>
      <c r="AD18" t="n">
        <v>14</v>
      </c>
      <c r="AE18" t="n">
        <v>20</v>
      </c>
      <c r="AF18" t="n">
        <v>3</v>
      </c>
      <c r="AG18" t="n">
        <v>5</v>
      </c>
      <c r="AH18" t="n">
        <v>3</v>
      </c>
      <c r="AI18" t="n">
        <v>5</v>
      </c>
      <c r="AJ18" t="n">
        <v>6</v>
      </c>
      <c r="AK18" t="n">
        <v>9</v>
      </c>
      <c r="AL18" t="n">
        <v>3</v>
      </c>
      <c r="AM18" t="n">
        <v>3</v>
      </c>
      <c r="AN18" t="n">
        <v>0</v>
      </c>
      <c r="AO18" t="n">
        <v>0</v>
      </c>
      <c r="AP18" t="inlineStr">
        <is>
          <t>No</t>
        </is>
      </c>
      <c r="AQ18" t="inlineStr">
        <is>
          <t>Yes</t>
        </is>
      </c>
      <c r="AR18">
        <f>HYPERLINK("http://catalog.hathitrust.org/Record/001467330","HathiTrust Record")</f>
        <v/>
      </c>
      <c r="AS18">
        <f>HYPERLINK("https://creighton-primo.hosted.exlibrisgroup.com/primo-explore/search?tab=default_tab&amp;search_scope=EVERYTHING&amp;vid=01CRU&amp;lang=en_US&amp;offset=0&amp;query=any,contains,991002761659702656","Catalog Record")</f>
        <v/>
      </c>
      <c r="AT18">
        <f>HYPERLINK("http://www.worldcat.org/oclc/429146","WorldCat Record")</f>
        <v/>
      </c>
      <c r="AU18" t="inlineStr">
        <is>
          <t>1102804825:eng</t>
        </is>
      </c>
      <c r="AV18" t="inlineStr">
        <is>
          <t>429146</t>
        </is>
      </c>
      <c r="AW18" t="inlineStr">
        <is>
          <t>991002761659702656</t>
        </is>
      </c>
      <c r="AX18" t="inlineStr">
        <is>
          <t>991002761659702656</t>
        </is>
      </c>
      <c r="AY18" t="inlineStr">
        <is>
          <t>2264437810002656</t>
        </is>
      </c>
      <c r="AZ18" t="inlineStr">
        <is>
          <t>BOOK</t>
        </is>
      </c>
      <c r="BC18" t="inlineStr">
        <is>
          <t>32285002863495</t>
        </is>
      </c>
      <c r="BD18" t="inlineStr">
        <is>
          <t>893440486</t>
        </is>
      </c>
    </row>
    <row r="19">
      <c r="A19" t="inlineStr">
        <is>
          <t>No</t>
        </is>
      </c>
      <c r="B19" t="inlineStr">
        <is>
          <t>NB1170 .I7 1970</t>
        </is>
      </c>
      <c r="C19" t="inlineStr">
        <is>
          <t>0                      NB 1170000I  7           1970</t>
        </is>
      </c>
      <c r="D19" t="inlineStr">
        <is>
          <t>Sculpture : material and process / [by] Donald J. Irving.</t>
        </is>
      </c>
      <c r="F19" t="inlineStr">
        <is>
          <t>No</t>
        </is>
      </c>
      <c r="G19" t="inlineStr">
        <is>
          <t>1</t>
        </is>
      </c>
      <c r="H19" t="inlineStr">
        <is>
          <t>No</t>
        </is>
      </c>
      <c r="I19" t="inlineStr">
        <is>
          <t>No</t>
        </is>
      </c>
      <c r="J19" t="inlineStr">
        <is>
          <t>0</t>
        </is>
      </c>
      <c r="K19" t="inlineStr">
        <is>
          <t>Irving, Donald J.</t>
        </is>
      </c>
      <c r="L19" t="inlineStr">
        <is>
          <t>New York : Van Nostrand, 1970.</t>
        </is>
      </c>
      <c r="M19" t="inlineStr">
        <is>
          <t>1970</t>
        </is>
      </c>
      <c r="O19" t="inlineStr">
        <is>
          <t>eng</t>
        </is>
      </c>
      <c r="P19" t="inlineStr">
        <is>
          <t>nyu</t>
        </is>
      </c>
      <c r="R19" t="inlineStr">
        <is>
          <t xml:space="preserve">NB </t>
        </is>
      </c>
      <c r="S19" t="n">
        <v>2</v>
      </c>
      <c r="T19" t="n">
        <v>2</v>
      </c>
      <c r="U19" t="inlineStr">
        <is>
          <t>1996-01-10</t>
        </is>
      </c>
      <c r="V19" t="inlineStr">
        <is>
          <t>1996-01-10</t>
        </is>
      </c>
      <c r="W19" t="inlineStr">
        <is>
          <t>1992-10-05</t>
        </is>
      </c>
      <c r="X19" t="inlineStr">
        <is>
          <t>1992-10-05</t>
        </is>
      </c>
      <c r="Y19" t="n">
        <v>696</v>
      </c>
      <c r="Z19" t="n">
        <v>606</v>
      </c>
      <c r="AA19" t="n">
        <v>617</v>
      </c>
      <c r="AB19" t="n">
        <v>5</v>
      </c>
      <c r="AC19" t="n">
        <v>5</v>
      </c>
      <c r="AD19" t="n">
        <v>13</v>
      </c>
      <c r="AE19" t="n">
        <v>13</v>
      </c>
      <c r="AF19" t="n">
        <v>7</v>
      </c>
      <c r="AG19" t="n">
        <v>7</v>
      </c>
      <c r="AH19" t="n">
        <v>2</v>
      </c>
      <c r="AI19" t="n">
        <v>2</v>
      </c>
      <c r="AJ19" t="n">
        <v>0</v>
      </c>
      <c r="AK19" t="n">
        <v>0</v>
      </c>
      <c r="AL19" t="n">
        <v>4</v>
      </c>
      <c r="AM19" t="n">
        <v>4</v>
      </c>
      <c r="AN19" t="n">
        <v>0</v>
      </c>
      <c r="AO19" t="n">
        <v>0</v>
      </c>
      <c r="AP19" t="inlineStr">
        <is>
          <t>No</t>
        </is>
      </c>
      <c r="AQ19" t="inlineStr">
        <is>
          <t>Yes</t>
        </is>
      </c>
      <c r="AR19">
        <f>HYPERLINK("http://catalog.hathitrust.org/Record/001468164","HathiTrust Record")</f>
        <v/>
      </c>
      <c r="AS19">
        <f>HYPERLINK("https://creighton-primo.hosted.exlibrisgroup.com/primo-explore/search?tab=default_tab&amp;search_scope=EVERYTHING&amp;vid=01CRU&amp;lang=en_US&amp;offset=0&amp;query=any,contains,991003638039702656","Catalog Record")</f>
        <v/>
      </c>
      <c r="AT19">
        <f>HYPERLINK("http://www.worldcat.org/oclc/62468","WorldCat Record")</f>
        <v/>
      </c>
      <c r="AU19" t="inlineStr">
        <is>
          <t>1224945:eng</t>
        </is>
      </c>
      <c r="AV19" t="inlineStr">
        <is>
          <t>62468</t>
        </is>
      </c>
      <c r="AW19" t="inlineStr">
        <is>
          <t>991003638039702656</t>
        </is>
      </c>
      <c r="AX19" t="inlineStr">
        <is>
          <t>991003638039702656</t>
        </is>
      </c>
      <c r="AY19" t="inlineStr">
        <is>
          <t>2264007230002656</t>
        </is>
      </c>
      <c r="AZ19" t="inlineStr">
        <is>
          <t>BOOK</t>
        </is>
      </c>
      <c r="BC19" t="inlineStr">
        <is>
          <t>32285001339844</t>
        </is>
      </c>
      <c r="BD19" t="inlineStr">
        <is>
          <t>893518701</t>
        </is>
      </c>
    </row>
    <row r="20">
      <c r="A20" t="inlineStr">
        <is>
          <t>No</t>
        </is>
      </c>
      <c r="B20" t="inlineStr">
        <is>
          <t>NB1170 .L54 2001</t>
        </is>
      </c>
      <c r="C20" t="inlineStr">
        <is>
          <t>0                      NB 1170000L  54          2001</t>
        </is>
      </c>
      <c r="D20" t="inlineStr">
        <is>
          <t>Direct stone sculpture : a guide to technique and creativity / Milt Liebson.</t>
        </is>
      </c>
      <c r="F20" t="inlineStr">
        <is>
          <t>No</t>
        </is>
      </c>
      <c r="G20" t="inlineStr">
        <is>
          <t>1</t>
        </is>
      </c>
      <c r="H20" t="inlineStr">
        <is>
          <t>No</t>
        </is>
      </c>
      <c r="I20" t="inlineStr">
        <is>
          <t>No</t>
        </is>
      </c>
      <c r="J20" t="inlineStr">
        <is>
          <t>0</t>
        </is>
      </c>
      <c r="K20" t="inlineStr">
        <is>
          <t>Liebson, Milt.</t>
        </is>
      </c>
      <c r="L20" t="inlineStr">
        <is>
          <t>Atglen, PA : Schiffer Pub., c2001.</t>
        </is>
      </c>
      <c r="M20" t="inlineStr">
        <is>
          <t>2001</t>
        </is>
      </c>
      <c r="N20" t="inlineStr">
        <is>
          <t>Rev. &amp; expanded 2nd ed.</t>
        </is>
      </c>
      <c r="O20" t="inlineStr">
        <is>
          <t>eng</t>
        </is>
      </c>
      <c r="P20" t="inlineStr">
        <is>
          <t>pau</t>
        </is>
      </c>
      <c r="Q20" t="inlineStr">
        <is>
          <t>A Schiffer art book</t>
        </is>
      </c>
      <c r="R20" t="inlineStr">
        <is>
          <t xml:space="preserve">NB </t>
        </is>
      </c>
      <c r="S20" t="n">
        <v>2</v>
      </c>
      <c r="T20" t="n">
        <v>2</v>
      </c>
      <c r="U20" t="inlineStr">
        <is>
          <t>2009-09-17</t>
        </is>
      </c>
      <c r="V20" t="inlineStr">
        <is>
          <t>2009-09-17</t>
        </is>
      </c>
      <c r="W20" t="inlineStr">
        <is>
          <t>2005-03-16</t>
        </is>
      </c>
      <c r="X20" t="inlineStr">
        <is>
          <t>2005-03-16</t>
        </is>
      </c>
      <c r="Y20" t="n">
        <v>125</v>
      </c>
      <c r="Z20" t="n">
        <v>105</v>
      </c>
      <c r="AA20" t="n">
        <v>223</v>
      </c>
      <c r="AB20" t="n">
        <v>1</v>
      </c>
      <c r="AC20" t="n">
        <v>4</v>
      </c>
      <c r="AD20" t="n">
        <v>0</v>
      </c>
      <c r="AE20" t="n">
        <v>3</v>
      </c>
      <c r="AF20" t="n">
        <v>0</v>
      </c>
      <c r="AG20" t="n">
        <v>1</v>
      </c>
      <c r="AH20" t="n">
        <v>0</v>
      </c>
      <c r="AI20" t="n">
        <v>0</v>
      </c>
      <c r="AJ20" t="n">
        <v>0</v>
      </c>
      <c r="AK20" t="n">
        <v>1</v>
      </c>
      <c r="AL20" t="n">
        <v>0</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HYPERLINK("https://creighton-primo.hosted.exlibrisgroup.com/primo-explore/search?tab=default_tab&amp;search_scope=EVERYTHING&amp;vid=01CRU&amp;lang=en_US&amp;offset=0&amp;query=any,contains,991004492749702656","Catalog Record")</f>
        <v/>
      </c>
      <c r="AT20">
        <f>HYPERLINK("http://www.worldcat.org/oclc/47109182","WorldCat Record")</f>
        <v/>
      </c>
      <c r="AU20" t="inlineStr">
        <is>
          <t>905884572:eng</t>
        </is>
      </c>
      <c r="AV20" t="inlineStr">
        <is>
          <t>47109182</t>
        </is>
      </c>
      <c r="AW20" t="inlineStr">
        <is>
          <t>991004492749702656</t>
        </is>
      </c>
      <c r="AX20" t="inlineStr">
        <is>
          <t>991004492749702656</t>
        </is>
      </c>
      <c r="AY20" t="inlineStr">
        <is>
          <t>2255172500002656</t>
        </is>
      </c>
      <c r="AZ20" t="inlineStr">
        <is>
          <t>BOOK</t>
        </is>
      </c>
      <c r="BB20" t="inlineStr">
        <is>
          <t>9780764312243</t>
        </is>
      </c>
      <c r="BC20" t="inlineStr">
        <is>
          <t>32285005042352</t>
        </is>
      </c>
      <c r="BD20" t="inlineStr">
        <is>
          <t>893506910</t>
        </is>
      </c>
    </row>
    <row r="21">
      <c r="A21" t="inlineStr">
        <is>
          <t>No</t>
        </is>
      </c>
      <c r="B21" t="inlineStr">
        <is>
          <t>NB1170 .M52 1971</t>
        </is>
      </c>
      <c r="C21" t="inlineStr">
        <is>
          <t>0                      NB 1170000M  52          1971</t>
        </is>
      </c>
      <c r="D21" t="inlineStr">
        <is>
          <t>Figure sculpture in wax and plaster / by Richard McDermott Miller ; edited by Gloria Bley Miller.</t>
        </is>
      </c>
      <c r="F21" t="inlineStr">
        <is>
          <t>No</t>
        </is>
      </c>
      <c r="G21" t="inlineStr">
        <is>
          <t>1</t>
        </is>
      </c>
      <c r="H21" t="inlineStr">
        <is>
          <t>No</t>
        </is>
      </c>
      <c r="I21" t="inlineStr">
        <is>
          <t>No</t>
        </is>
      </c>
      <c r="J21" t="inlineStr">
        <is>
          <t>0</t>
        </is>
      </c>
      <c r="K21" t="inlineStr">
        <is>
          <t>Miller, Richard McDermott, 1922-2004.</t>
        </is>
      </c>
      <c r="L21" t="inlineStr">
        <is>
          <t>New York : Watson-Guptill Publications, [1971]</t>
        </is>
      </c>
      <c r="M21" t="inlineStr">
        <is>
          <t>1971</t>
        </is>
      </c>
      <c r="O21" t="inlineStr">
        <is>
          <t>eng</t>
        </is>
      </c>
      <c r="P21" t="inlineStr">
        <is>
          <t>nyu</t>
        </is>
      </c>
      <c r="R21" t="inlineStr">
        <is>
          <t xml:space="preserve">NB </t>
        </is>
      </c>
      <c r="S21" t="n">
        <v>4</v>
      </c>
      <c r="T21" t="n">
        <v>4</v>
      </c>
      <c r="U21" t="inlineStr">
        <is>
          <t>1996-01-10</t>
        </is>
      </c>
      <c r="V21" t="inlineStr">
        <is>
          <t>1996-01-10</t>
        </is>
      </c>
      <c r="W21" t="inlineStr">
        <is>
          <t>1992-02-17</t>
        </is>
      </c>
      <c r="X21" t="inlineStr">
        <is>
          <t>1992-02-17</t>
        </is>
      </c>
      <c r="Y21" t="n">
        <v>559</v>
      </c>
      <c r="Z21" t="n">
        <v>524</v>
      </c>
      <c r="AA21" t="n">
        <v>739</v>
      </c>
      <c r="AB21" t="n">
        <v>5</v>
      </c>
      <c r="AC21" t="n">
        <v>5</v>
      </c>
      <c r="AD21" t="n">
        <v>16</v>
      </c>
      <c r="AE21" t="n">
        <v>19</v>
      </c>
      <c r="AF21" t="n">
        <v>5</v>
      </c>
      <c r="AG21" t="n">
        <v>8</v>
      </c>
      <c r="AH21" t="n">
        <v>3</v>
      </c>
      <c r="AI21" t="n">
        <v>4</v>
      </c>
      <c r="AJ21" t="n">
        <v>6</v>
      </c>
      <c r="AK21" t="n">
        <v>6</v>
      </c>
      <c r="AL21" t="n">
        <v>4</v>
      </c>
      <c r="AM21" t="n">
        <v>4</v>
      </c>
      <c r="AN21" t="n">
        <v>0</v>
      </c>
      <c r="AO21" t="n">
        <v>0</v>
      </c>
      <c r="AP21" t="inlineStr">
        <is>
          <t>No</t>
        </is>
      </c>
      <c r="AQ21" t="inlineStr">
        <is>
          <t>Yes</t>
        </is>
      </c>
      <c r="AR21">
        <f>HYPERLINK("http://catalog.hathitrust.org/Record/001468167","HathiTrust Record")</f>
        <v/>
      </c>
      <c r="AS21">
        <f>HYPERLINK("https://creighton-primo.hosted.exlibrisgroup.com/primo-explore/search?tab=default_tab&amp;search_scope=EVERYTHING&amp;vid=01CRU&amp;lang=en_US&amp;offset=0&amp;query=any,contains,991000805029702656","Catalog Record")</f>
        <v/>
      </c>
      <c r="AT21">
        <f>HYPERLINK("http://www.worldcat.org/oclc/140355","WorldCat Record")</f>
        <v/>
      </c>
      <c r="AU21" t="inlineStr">
        <is>
          <t>1302058:eng</t>
        </is>
      </c>
      <c r="AV21" t="inlineStr">
        <is>
          <t>140355</t>
        </is>
      </c>
      <c r="AW21" t="inlineStr">
        <is>
          <t>991000805029702656</t>
        </is>
      </c>
      <c r="AX21" t="inlineStr">
        <is>
          <t>991000805029702656</t>
        </is>
      </c>
      <c r="AY21" t="inlineStr">
        <is>
          <t>2255546430002656</t>
        </is>
      </c>
      <c r="AZ21" t="inlineStr">
        <is>
          <t>BOOK</t>
        </is>
      </c>
      <c r="BB21" t="inlineStr">
        <is>
          <t>9780823017201</t>
        </is>
      </c>
      <c r="BC21" t="inlineStr">
        <is>
          <t>32285000970821</t>
        </is>
      </c>
      <c r="BD21" t="inlineStr">
        <is>
          <t>893522032</t>
        </is>
      </c>
    </row>
    <row r="22">
      <c r="A22" t="inlineStr">
        <is>
          <t>No</t>
        </is>
      </c>
      <c r="B22" t="inlineStr">
        <is>
          <t>NB1170 .M53</t>
        </is>
      </c>
      <c r="C22" t="inlineStr">
        <is>
          <t>0                      NB 1170000M  53</t>
        </is>
      </c>
      <c r="D22" t="inlineStr">
        <is>
          <t>The technique of sculpture [by] John W. Mills.</t>
        </is>
      </c>
      <c r="F22" t="inlineStr">
        <is>
          <t>No</t>
        </is>
      </c>
      <c r="G22" t="inlineStr">
        <is>
          <t>1</t>
        </is>
      </c>
      <c r="H22" t="inlineStr">
        <is>
          <t>No</t>
        </is>
      </c>
      <c r="I22" t="inlineStr">
        <is>
          <t>No</t>
        </is>
      </c>
      <c r="J22" t="inlineStr">
        <is>
          <t>0</t>
        </is>
      </c>
      <c r="K22" t="inlineStr">
        <is>
          <t>Mills, John W.</t>
        </is>
      </c>
      <c r="L22" t="inlineStr">
        <is>
          <t>New York, Reinhold Pub. Corp. [1965]</t>
        </is>
      </c>
      <c r="M22" t="inlineStr">
        <is>
          <t>1965</t>
        </is>
      </c>
      <c r="O22" t="inlineStr">
        <is>
          <t>eng</t>
        </is>
      </c>
      <c r="P22" t="inlineStr">
        <is>
          <t>nyu</t>
        </is>
      </c>
      <c r="R22" t="inlineStr">
        <is>
          <t xml:space="preserve">NB </t>
        </is>
      </c>
      <c r="S22" t="n">
        <v>4</v>
      </c>
      <c r="T22" t="n">
        <v>4</v>
      </c>
      <c r="U22" t="inlineStr">
        <is>
          <t>2005-04-07</t>
        </is>
      </c>
      <c r="V22" t="inlineStr">
        <is>
          <t>2005-04-07</t>
        </is>
      </c>
      <c r="W22" t="inlineStr">
        <is>
          <t>1997-07-03</t>
        </is>
      </c>
      <c r="X22" t="inlineStr">
        <is>
          <t>1997-07-03</t>
        </is>
      </c>
      <c r="Y22" t="n">
        <v>739</v>
      </c>
      <c r="Z22" t="n">
        <v>699</v>
      </c>
      <c r="AA22" t="n">
        <v>937</v>
      </c>
      <c r="AB22" t="n">
        <v>6</v>
      </c>
      <c r="AC22" t="n">
        <v>7</v>
      </c>
      <c r="AD22" t="n">
        <v>19</v>
      </c>
      <c r="AE22" t="n">
        <v>25</v>
      </c>
      <c r="AF22" t="n">
        <v>7</v>
      </c>
      <c r="AG22" t="n">
        <v>10</v>
      </c>
      <c r="AH22" t="n">
        <v>3</v>
      </c>
      <c r="AI22" t="n">
        <v>4</v>
      </c>
      <c r="AJ22" t="n">
        <v>5</v>
      </c>
      <c r="AK22" t="n">
        <v>7</v>
      </c>
      <c r="AL22" t="n">
        <v>5</v>
      </c>
      <c r="AM22" t="n">
        <v>6</v>
      </c>
      <c r="AN22" t="n">
        <v>0</v>
      </c>
      <c r="AO22" t="n">
        <v>0</v>
      </c>
      <c r="AP22" t="inlineStr">
        <is>
          <t>No</t>
        </is>
      </c>
      <c r="AQ22" t="inlineStr">
        <is>
          <t>Yes</t>
        </is>
      </c>
      <c r="AR22">
        <f>HYPERLINK("http://catalog.hathitrust.org/Record/102599177","HathiTrust Record")</f>
        <v/>
      </c>
      <c r="AS22">
        <f>HYPERLINK("https://creighton-primo.hosted.exlibrisgroup.com/primo-explore/search?tab=default_tab&amp;search_scope=EVERYTHING&amp;vid=01CRU&amp;lang=en_US&amp;offset=0&amp;query=any,contains,991002237559702656","Catalog Record")</f>
        <v/>
      </c>
      <c r="AT22">
        <f>HYPERLINK("http://www.worldcat.org/oclc/296312","WorldCat Record")</f>
        <v/>
      </c>
      <c r="AU22" t="inlineStr">
        <is>
          <t>1494433:eng</t>
        </is>
      </c>
      <c r="AV22" t="inlineStr">
        <is>
          <t>296312</t>
        </is>
      </c>
      <c r="AW22" t="inlineStr">
        <is>
          <t>991002237559702656</t>
        </is>
      </c>
      <c r="AX22" t="inlineStr">
        <is>
          <t>991002237559702656</t>
        </is>
      </c>
      <c r="AY22" t="inlineStr">
        <is>
          <t>2262687750002656</t>
        </is>
      </c>
      <c r="AZ22" t="inlineStr">
        <is>
          <t>BOOK</t>
        </is>
      </c>
      <c r="BC22" t="inlineStr">
        <is>
          <t>32285002864063</t>
        </is>
      </c>
      <c r="BD22" t="inlineStr">
        <is>
          <t>893773375</t>
        </is>
      </c>
    </row>
    <row r="23">
      <c r="A23" t="inlineStr">
        <is>
          <t>No</t>
        </is>
      </c>
      <c r="B23" t="inlineStr">
        <is>
          <t>NB1170 .P37 1989</t>
        </is>
      </c>
      <c r="C23" t="inlineStr">
        <is>
          <t>0                      NB 1170000P  37          1989</t>
        </is>
      </c>
      <c r="D23" t="inlineStr">
        <is>
          <t>Sculpture as experience : working with clay, wire, wax, plaster, and found objects / Judith Peck.</t>
        </is>
      </c>
      <c r="F23" t="inlineStr">
        <is>
          <t>No</t>
        </is>
      </c>
      <c r="G23" t="inlineStr">
        <is>
          <t>1</t>
        </is>
      </c>
      <c r="H23" t="inlineStr">
        <is>
          <t>No</t>
        </is>
      </c>
      <c r="I23" t="inlineStr">
        <is>
          <t>No</t>
        </is>
      </c>
      <c r="J23" t="inlineStr">
        <is>
          <t>0</t>
        </is>
      </c>
      <c r="K23" t="inlineStr">
        <is>
          <t>Peck, Judith.</t>
        </is>
      </c>
      <c r="L23" t="inlineStr">
        <is>
          <t>Radnor, Pa. : Chilton Book Co., c1989.</t>
        </is>
      </c>
      <c r="M23" t="inlineStr">
        <is>
          <t>1989</t>
        </is>
      </c>
      <c r="O23" t="inlineStr">
        <is>
          <t>eng</t>
        </is>
      </c>
      <c r="P23" t="inlineStr">
        <is>
          <t>pau</t>
        </is>
      </c>
      <c r="R23" t="inlineStr">
        <is>
          <t xml:space="preserve">NB </t>
        </is>
      </c>
      <c r="S23" t="n">
        <v>11</v>
      </c>
      <c r="T23" t="n">
        <v>11</v>
      </c>
      <c r="U23" t="inlineStr">
        <is>
          <t>1996-01-20</t>
        </is>
      </c>
      <c r="V23" t="inlineStr">
        <is>
          <t>1996-01-20</t>
        </is>
      </c>
      <c r="W23" t="inlineStr">
        <is>
          <t>1990-05-17</t>
        </is>
      </c>
      <c r="X23" t="inlineStr">
        <is>
          <t>1990-05-17</t>
        </is>
      </c>
      <c r="Y23" t="n">
        <v>407</v>
      </c>
      <c r="Z23" t="n">
        <v>373</v>
      </c>
      <c r="AA23" t="n">
        <v>733</v>
      </c>
      <c r="AB23" t="n">
        <v>3</v>
      </c>
      <c r="AC23" t="n">
        <v>8</v>
      </c>
      <c r="AD23" t="n">
        <v>6</v>
      </c>
      <c r="AE23" t="n">
        <v>9</v>
      </c>
      <c r="AF23" t="n">
        <v>3</v>
      </c>
      <c r="AG23" t="n">
        <v>4</v>
      </c>
      <c r="AH23" t="n">
        <v>0</v>
      </c>
      <c r="AI23" t="n">
        <v>0</v>
      </c>
      <c r="AJ23" t="n">
        <v>4</v>
      </c>
      <c r="AK23" t="n">
        <v>5</v>
      </c>
      <c r="AL23" t="n">
        <v>2</v>
      </c>
      <c r="AM23" t="n">
        <v>4</v>
      </c>
      <c r="AN23" t="n">
        <v>0</v>
      </c>
      <c r="AO23" t="n">
        <v>0</v>
      </c>
      <c r="AP23" t="inlineStr">
        <is>
          <t>No</t>
        </is>
      </c>
      <c r="AQ23" t="inlineStr">
        <is>
          <t>No</t>
        </is>
      </c>
      <c r="AS23">
        <f>HYPERLINK("https://creighton-primo.hosted.exlibrisgroup.com/primo-explore/search?tab=default_tab&amp;search_scope=EVERYTHING&amp;vid=01CRU&amp;lang=en_US&amp;offset=0&amp;query=any,contains,991001437019702656","Catalog Record")</f>
        <v/>
      </c>
      <c r="AT23">
        <f>HYPERLINK("http://www.worldcat.org/oclc/19130807","WorldCat Record")</f>
        <v/>
      </c>
      <c r="AU23" t="inlineStr">
        <is>
          <t>19123364:eng</t>
        </is>
      </c>
      <c r="AV23" t="inlineStr">
        <is>
          <t>19130807</t>
        </is>
      </c>
      <c r="AW23" t="inlineStr">
        <is>
          <t>991001437019702656</t>
        </is>
      </c>
      <c r="AX23" t="inlineStr">
        <is>
          <t>991001437019702656</t>
        </is>
      </c>
      <c r="AY23" t="inlineStr">
        <is>
          <t>2261638190002656</t>
        </is>
      </c>
      <c r="AZ23" t="inlineStr">
        <is>
          <t>BOOK</t>
        </is>
      </c>
      <c r="BB23" t="inlineStr">
        <is>
          <t>9780801979781</t>
        </is>
      </c>
      <c r="BC23" t="inlineStr">
        <is>
          <t>32285000137447</t>
        </is>
      </c>
      <c r="BD23" t="inlineStr">
        <is>
          <t>893778803</t>
        </is>
      </c>
    </row>
    <row r="24">
      <c r="A24" t="inlineStr">
        <is>
          <t>No</t>
        </is>
      </c>
      <c r="B24" t="inlineStr">
        <is>
          <t>NB1180 .E48</t>
        </is>
      </c>
      <c r="C24" t="inlineStr">
        <is>
          <t>0                      NB 1180000E  48</t>
        </is>
      </c>
      <c r="D24" t="inlineStr">
        <is>
          <t>Sculpture: techniques in clay, wax, slate.</t>
        </is>
      </c>
      <c r="F24" t="inlineStr">
        <is>
          <t>No</t>
        </is>
      </c>
      <c r="G24" t="inlineStr">
        <is>
          <t>1</t>
        </is>
      </c>
      <c r="H24" t="inlineStr">
        <is>
          <t>No</t>
        </is>
      </c>
      <c r="I24" t="inlineStr">
        <is>
          <t>No</t>
        </is>
      </c>
      <c r="J24" t="inlineStr">
        <is>
          <t>0</t>
        </is>
      </c>
      <c r="K24" t="inlineStr">
        <is>
          <t>Eliscu, Frank.</t>
        </is>
      </c>
      <c r="L24" t="inlineStr">
        <is>
          <t>Philadelphia, Chilton Co. [1959]</t>
        </is>
      </c>
      <c r="M24" t="inlineStr">
        <is>
          <t>1959</t>
        </is>
      </c>
      <c r="N24" t="inlineStr">
        <is>
          <t>[1st ed.] Photos. of processes by Conrad Brown.</t>
        </is>
      </c>
      <c r="O24" t="inlineStr">
        <is>
          <t>eng</t>
        </is>
      </c>
      <c r="P24" t="inlineStr">
        <is>
          <t>pau</t>
        </is>
      </c>
      <c r="Q24" t="inlineStr">
        <is>
          <t>Arts and crafts series</t>
        </is>
      </c>
      <c r="R24" t="inlineStr">
        <is>
          <t xml:space="preserve">NB </t>
        </is>
      </c>
      <c r="S24" t="n">
        <v>3</v>
      </c>
      <c r="T24" t="n">
        <v>3</v>
      </c>
      <c r="U24" t="inlineStr">
        <is>
          <t>1994-09-15</t>
        </is>
      </c>
      <c r="V24" t="inlineStr">
        <is>
          <t>1994-09-15</t>
        </is>
      </c>
      <c r="W24" t="inlineStr">
        <is>
          <t>1992-10-02</t>
        </is>
      </c>
      <c r="X24" t="inlineStr">
        <is>
          <t>1992-10-02</t>
        </is>
      </c>
      <c r="Y24" t="n">
        <v>894</v>
      </c>
      <c r="Z24" t="n">
        <v>829</v>
      </c>
      <c r="AA24" t="n">
        <v>852</v>
      </c>
      <c r="AB24" t="n">
        <v>8</v>
      </c>
      <c r="AC24" t="n">
        <v>8</v>
      </c>
      <c r="AD24" t="n">
        <v>16</v>
      </c>
      <c r="AE24" t="n">
        <v>16</v>
      </c>
      <c r="AF24" t="n">
        <v>5</v>
      </c>
      <c r="AG24" t="n">
        <v>5</v>
      </c>
      <c r="AH24" t="n">
        <v>2</v>
      </c>
      <c r="AI24" t="n">
        <v>2</v>
      </c>
      <c r="AJ24" t="n">
        <v>4</v>
      </c>
      <c r="AK24" t="n">
        <v>4</v>
      </c>
      <c r="AL24" t="n">
        <v>6</v>
      </c>
      <c r="AM24" t="n">
        <v>6</v>
      </c>
      <c r="AN24" t="n">
        <v>0</v>
      </c>
      <c r="AO24" t="n">
        <v>0</v>
      </c>
      <c r="AP24" t="inlineStr">
        <is>
          <t>Yes</t>
        </is>
      </c>
      <c r="AQ24" t="inlineStr">
        <is>
          <t>No</t>
        </is>
      </c>
      <c r="AR24">
        <f>HYPERLINK("http://catalog.hathitrust.org/Record/001468182","HathiTrust Record")</f>
        <v/>
      </c>
      <c r="AS24">
        <f>HYPERLINK("https://creighton-primo.hosted.exlibrisgroup.com/primo-explore/search?tab=default_tab&amp;search_scope=EVERYTHING&amp;vid=01CRU&amp;lang=en_US&amp;offset=0&amp;query=any,contains,991002755429702656","Catalog Record")</f>
        <v/>
      </c>
      <c r="AT24">
        <f>HYPERLINK("http://www.worldcat.org/oclc/426268","WorldCat Record")</f>
        <v/>
      </c>
      <c r="AU24" t="inlineStr">
        <is>
          <t>1373028:eng</t>
        </is>
      </c>
      <c r="AV24" t="inlineStr">
        <is>
          <t>426268</t>
        </is>
      </c>
      <c r="AW24" t="inlineStr">
        <is>
          <t>991002755429702656</t>
        </is>
      </c>
      <c r="AX24" t="inlineStr">
        <is>
          <t>991002755429702656</t>
        </is>
      </c>
      <c r="AY24" t="inlineStr">
        <is>
          <t>2265414120002656</t>
        </is>
      </c>
      <c r="AZ24" t="inlineStr">
        <is>
          <t>BOOK</t>
        </is>
      </c>
      <c r="BC24" t="inlineStr">
        <is>
          <t>32285001338127</t>
        </is>
      </c>
      <c r="BD24" t="inlineStr">
        <is>
          <t>893504784</t>
        </is>
      </c>
    </row>
    <row r="25">
      <c r="A25" t="inlineStr">
        <is>
          <t>No</t>
        </is>
      </c>
      <c r="B25" t="inlineStr">
        <is>
          <t>NB1190 .C45 1973</t>
        </is>
      </c>
      <c r="C25" t="inlineStr">
        <is>
          <t>0                      NB 1190000C  45          1973</t>
        </is>
      </c>
      <c r="D25" t="inlineStr">
        <is>
          <t>Plaster mold and model making / [by] Charles Chaney and Stanley Skee.</t>
        </is>
      </c>
      <c r="F25" t="inlineStr">
        <is>
          <t>No</t>
        </is>
      </c>
      <c r="G25" t="inlineStr">
        <is>
          <t>1</t>
        </is>
      </c>
      <c r="H25" t="inlineStr">
        <is>
          <t>No</t>
        </is>
      </c>
      <c r="I25" t="inlineStr">
        <is>
          <t>No</t>
        </is>
      </c>
      <c r="J25" t="inlineStr">
        <is>
          <t>0</t>
        </is>
      </c>
      <c r="K25" t="inlineStr">
        <is>
          <t>Chaney, Charles.</t>
        </is>
      </c>
      <c r="L25" t="inlineStr">
        <is>
          <t>New York : Van Nostrand Reinhold, [1973]</t>
        </is>
      </c>
      <c r="M25" t="inlineStr">
        <is>
          <t>1973</t>
        </is>
      </c>
      <c r="O25" t="inlineStr">
        <is>
          <t>eng</t>
        </is>
      </c>
      <c r="P25" t="inlineStr">
        <is>
          <t>nyu</t>
        </is>
      </c>
      <c r="R25" t="inlineStr">
        <is>
          <t xml:space="preserve">NB </t>
        </is>
      </c>
      <c r="S25" t="n">
        <v>3</v>
      </c>
      <c r="T25" t="n">
        <v>3</v>
      </c>
      <c r="U25" t="inlineStr">
        <is>
          <t>1995-09-26</t>
        </is>
      </c>
      <c r="V25" t="inlineStr">
        <is>
          <t>1995-09-26</t>
        </is>
      </c>
      <c r="W25" t="inlineStr">
        <is>
          <t>1992-03-17</t>
        </is>
      </c>
      <c r="X25" t="inlineStr">
        <is>
          <t>1992-03-17</t>
        </is>
      </c>
      <c r="Y25" t="n">
        <v>565</v>
      </c>
      <c r="Z25" t="n">
        <v>454</v>
      </c>
      <c r="AA25" t="n">
        <v>526</v>
      </c>
      <c r="AB25" t="n">
        <v>5</v>
      </c>
      <c r="AC25" t="n">
        <v>5</v>
      </c>
      <c r="AD25" t="n">
        <v>10</v>
      </c>
      <c r="AE25" t="n">
        <v>10</v>
      </c>
      <c r="AF25" t="n">
        <v>5</v>
      </c>
      <c r="AG25" t="n">
        <v>5</v>
      </c>
      <c r="AH25" t="n">
        <v>1</v>
      </c>
      <c r="AI25" t="n">
        <v>1</v>
      </c>
      <c r="AJ25" t="n">
        <v>1</v>
      </c>
      <c r="AK25" t="n">
        <v>1</v>
      </c>
      <c r="AL25" t="n">
        <v>4</v>
      </c>
      <c r="AM25" t="n">
        <v>4</v>
      </c>
      <c r="AN25" t="n">
        <v>0</v>
      </c>
      <c r="AO25" t="n">
        <v>0</v>
      </c>
      <c r="AP25" t="inlineStr">
        <is>
          <t>No</t>
        </is>
      </c>
      <c r="AQ25" t="inlineStr">
        <is>
          <t>Yes</t>
        </is>
      </c>
      <c r="AR25">
        <f>HYPERLINK("http://catalog.hathitrust.org/Record/001468186","HathiTrust Record")</f>
        <v/>
      </c>
      <c r="AS25">
        <f>HYPERLINK("https://creighton-primo.hosted.exlibrisgroup.com/primo-explore/search?tab=default_tab&amp;search_scope=EVERYTHING&amp;vid=01CRU&amp;lang=en_US&amp;offset=0&amp;query=any,contains,991003160359702656","Catalog Record")</f>
        <v/>
      </c>
      <c r="AT25">
        <f>HYPERLINK("http://www.worldcat.org/oclc/699549","WorldCat Record")</f>
        <v/>
      </c>
      <c r="AU25" t="inlineStr">
        <is>
          <t>1830019:eng</t>
        </is>
      </c>
      <c r="AV25" t="inlineStr">
        <is>
          <t>699549</t>
        </is>
      </c>
      <c r="AW25" t="inlineStr">
        <is>
          <t>991003160359702656</t>
        </is>
      </c>
      <c r="AX25" t="inlineStr">
        <is>
          <t>991003160359702656</t>
        </is>
      </c>
      <c r="AY25" t="inlineStr">
        <is>
          <t>2263058110002656</t>
        </is>
      </c>
      <c r="AZ25" t="inlineStr">
        <is>
          <t>BOOK</t>
        </is>
      </c>
      <c r="BB25" t="inlineStr">
        <is>
          <t>9780442215118</t>
        </is>
      </c>
      <c r="BC25" t="inlineStr">
        <is>
          <t>32285001022671</t>
        </is>
      </c>
      <c r="BD25" t="inlineStr">
        <is>
          <t>893604502</t>
        </is>
      </c>
    </row>
    <row r="26">
      <c r="A26" t="inlineStr">
        <is>
          <t>No</t>
        </is>
      </c>
      <c r="B26" t="inlineStr">
        <is>
          <t>NB1190 .M5 1990</t>
        </is>
      </c>
      <c r="C26" t="inlineStr">
        <is>
          <t>0                      NB 1190000M  5           1990</t>
        </is>
      </c>
      <c r="D26" t="inlineStr">
        <is>
          <t>The technique of casting for sculpture / John W. Mills.</t>
        </is>
      </c>
      <c r="F26" t="inlineStr">
        <is>
          <t>No</t>
        </is>
      </c>
      <c r="G26" t="inlineStr">
        <is>
          <t>1</t>
        </is>
      </c>
      <c r="H26" t="inlineStr">
        <is>
          <t>No</t>
        </is>
      </c>
      <c r="I26" t="inlineStr">
        <is>
          <t>No</t>
        </is>
      </c>
      <c r="J26" t="inlineStr">
        <is>
          <t>0</t>
        </is>
      </c>
      <c r="K26" t="inlineStr">
        <is>
          <t>Mills, John W.</t>
        </is>
      </c>
      <c r="L26" t="inlineStr">
        <is>
          <t>London : Batsford, 1990.</t>
        </is>
      </c>
      <c r="M26" t="inlineStr">
        <is>
          <t>1990</t>
        </is>
      </c>
      <c r="N26" t="inlineStr">
        <is>
          <t>[Rev. ed.].</t>
        </is>
      </c>
      <c r="O26" t="inlineStr">
        <is>
          <t>eng</t>
        </is>
      </c>
      <c r="P26" t="inlineStr">
        <is>
          <t>enk</t>
        </is>
      </c>
      <c r="R26" t="inlineStr">
        <is>
          <t xml:space="preserve">NB </t>
        </is>
      </c>
      <c r="S26" t="n">
        <v>9</v>
      </c>
      <c r="T26" t="n">
        <v>9</v>
      </c>
      <c r="U26" t="inlineStr">
        <is>
          <t>2005-07-12</t>
        </is>
      </c>
      <c r="V26" t="inlineStr">
        <is>
          <t>2005-07-12</t>
        </is>
      </c>
      <c r="W26" t="inlineStr">
        <is>
          <t>1991-06-06</t>
        </is>
      </c>
      <c r="X26" t="inlineStr">
        <is>
          <t>1991-06-06</t>
        </is>
      </c>
      <c r="Y26" t="n">
        <v>271</v>
      </c>
      <c r="Z26" t="n">
        <v>197</v>
      </c>
      <c r="AA26" t="n">
        <v>703</v>
      </c>
      <c r="AB26" t="n">
        <v>3</v>
      </c>
      <c r="AC26" t="n">
        <v>8</v>
      </c>
      <c r="AD26" t="n">
        <v>3</v>
      </c>
      <c r="AE26" t="n">
        <v>12</v>
      </c>
      <c r="AF26" t="n">
        <v>0</v>
      </c>
      <c r="AG26" t="n">
        <v>2</v>
      </c>
      <c r="AH26" t="n">
        <v>0</v>
      </c>
      <c r="AI26" t="n">
        <v>2</v>
      </c>
      <c r="AJ26" t="n">
        <v>1</v>
      </c>
      <c r="AK26" t="n">
        <v>3</v>
      </c>
      <c r="AL26" t="n">
        <v>2</v>
      </c>
      <c r="AM26" t="n">
        <v>7</v>
      </c>
      <c r="AN26" t="n">
        <v>0</v>
      </c>
      <c r="AO26" t="n">
        <v>0</v>
      </c>
      <c r="AP26" t="inlineStr">
        <is>
          <t>No</t>
        </is>
      </c>
      <c r="AQ26" t="inlineStr">
        <is>
          <t>Yes</t>
        </is>
      </c>
      <c r="AR26">
        <f>HYPERLINK("http://catalog.hathitrust.org/Record/101907337","HathiTrust Record")</f>
        <v/>
      </c>
      <c r="AS26">
        <f>HYPERLINK("https://creighton-primo.hosted.exlibrisgroup.com/primo-explore/search?tab=default_tab&amp;search_scope=EVERYTHING&amp;vid=01CRU&amp;lang=en_US&amp;offset=0&amp;query=any,contains,991001572839702656","Catalog Record")</f>
        <v/>
      </c>
      <c r="AT26">
        <f>HYPERLINK("http://www.worldcat.org/oclc/60031233","WorldCat Record")</f>
        <v/>
      </c>
      <c r="AU26" t="inlineStr">
        <is>
          <t>3373691739:eng</t>
        </is>
      </c>
      <c r="AV26" t="inlineStr">
        <is>
          <t>60031233</t>
        </is>
      </c>
      <c r="AW26" t="inlineStr">
        <is>
          <t>991001572839702656</t>
        </is>
      </c>
      <c r="AX26" t="inlineStr">
        <is>
          <t>991001572839702656</t>
        </is>
      </c>
      <c r="AY26" t="inlineStr">
        <is>
          <t>2260277980002656</t>
        </is>
      </c>
      <c r="AZ26" t="inlineStr">
        <is>
          <t>BOOK</t>
        </is>
      </c>
      <c r="BB26" t="inlineStr">
        <is>
          <t>9780713461572</t>
        </is>
      </c>
      <c r="BC26" t="inlineStr">
        <is>
          <t>32285000593326</t>
        </is>
      </c>
      <c r="BD26" t="inlineStr">
        <is>
          <t>893244214</t>
        </is>
      </c>
    </row>
    <row r="27">
      <c r="A27" t="inlineStr">
        <is>
          <t>No</t>
        </is>
      </c>
      <c r="B27" t="inlineStr">
        <is>
          <t>NB1201.5.D67 S69 1988</t>
        </is>
      </c>
      <c r="C27" t="inlineStr">
        <is>
          <t>0                      NB 1201500D  67                 S  69          1988</t>
        </is>
      </c>
      <c r="D27" t="inlineStr">
        <is>
          <t>Unmasking the forger : the Dossena deception / David Sox.</t>
        </is>
      </c>
      <c r="F27" t="inlineStr">
        <is>
          <t>No</t>
        </is>
      </c>
      <c r="G27" t="inlineStr">
        <is>
          <t>1</t>
        </is>
      </c>
      <c r="H27" t="inlineStr">
        <is>
          <t>No</t>
        </is>
      </c>
      <c r="I27" t="inlineStr">
        <is>
          <t>No</t>
        </is>
      </c>
      <c r="J27" t="inlineStr">
        <is>
          <t>0</t>
        </is>
      </c>
      <c r="K27" t="inlineStr">
        <is>
          <t>Sox, David.</t>
        </is>
      </c>
      <c r="L27" t="inlineStr">
        <is>
          <t>New York : Universe Books, 1988, c1987.</t>
        </is>
      </c>
      <c r="M27" t="inlineStr">
        <is>
          <t>1988</t>
        </is>
      </c>
      <c r="O27" t="inlineStr">
        <is>
          <t>eng</t>
        </is>
      </c>
      <c r="P27" t="inlineStr">
        <is>
          <t>nyu</t>
        </is>
      </c>
      <c r="R27" t="inlineStr">
        <is>
          <t xml:space="preserve">NB </t>
        </is>
      </c>
      <c r="S27" t="n">
        <v>1</v>
      </c>
      <c r="T27" t="n">
        <v>1</v>
      </c>
      <c r="U27" t="inlineStr">
        <is>
          <t>2009-09-02</t>
        </is>
      </c>
      <c r="V27" t="inlineStr">
        <is>
          <t>2009-09-02</t>
        </is>
      </c>
      <c r="W27" t="inlineStr">
        <is>
          <t>2009-09-02</t>
        </is>
      </c>
      <c r="X27" t="inlineStr">
        <is>
          <t>2009-09-02</t>
        </is>
      </c>
      <c r="Y27" t="n">
        <v>149</v>
      </c>
      <c r="Z27" t="n">
        <v>139</v>
      </c>
      <c r="AA27" t="n">
        <v>179</v>
      </c>
      <c r="AB27" t="n">
        <v>1</v>
      </c>
      <c r="AC27" t="n">
        <v>2</v>
      </c>
      <c r="AD27" t="n">
        <v>4</v>
      </c>
      <c r="AE27" t="n">
        <v>5</v>
      </c>
      <c r="AF27" t="n">
        <v>1</v>
      </c>
      <c r="AG27" t="n">
        <v>1</v>
      </c>
      <c r="AH27" t="n">
        <v>2</v>
      </c>
      <c r="AI27" t="n">
        <v>2</v>
      </c>
      <c r="AJ27" t="n">
        <v>2</v>
      </c>
      <c r="AK27" t="n">
        <v>2</v>
      </c>
      <c r="AL27" t="n">
        <v>0</v>
      </c>
      <c r="AM27" t="n">
        <v>1</v>
      </c>
      <c r="AN27" t="n">
        <v>0</v>
      </c>
      <c r="AO27" t="n">
        <v>0</v>
      </c>
      <c r="AP27" t="inlineStr">
        <is>
          <t>No</t>
        </is>
      </c>
      <c r="AQ27" t="inlineStr">
        <is>
          <t>Yes</t>
        </is>
      </c>
      <c r="AR27">
        <f>HYPERLINK("http://catalog.hathitrust.org/Record/101886643","HathiTrust Record")</f>
        <v/>
      </c>
      <c r="AS27">
        <f>HYPERLINK("https://creighton-primo.hosted.exlibrisgroup.com/primo-explore/search?tab=default_tab&amp;search_scope=EVERYTHING&amp;vid=01CRU&amp;lang=en_US&amp;offset=0&amp;query=any,contains,991005334039702656","Catalog Record")</f>
        <v/>
      </c>
      <c r="AT27">
        <f>HYPERLINK("http://www.worldcat.org/oclc/17841796","WorldCat Record")</f>
        <v/>
      </c>
      <c r="AU27" t="inlineStr">
        <is>
          <t>836724669:eng</t>
        </is>
      </c>
      <c r="AV27" t="inlineStr">
        <is>
          <t>17841796</t>
        </is>
      </c>
      <c r="AW27" t="inlineStr">
        <is>
          <t>991005334039702656</t>
        </is>
      </c>
      <c r="AX27" t="inlineStr">
        <is>
          <t>991005334039702656</t>
        </is>
      </c>
      <c r="AY27" t="inlineStr">
        <is>
          <t>2269056430002656</t>
        </is>
      </c>
      <c r="AZ27" t="inlineStr">
        <is>
          <t>BOOK</t>
        </is>
      </c>
      <c r="BB27" t="inlineStr">
        <is>
          <t>9780876636909</t>
        </is>
      </c>
      <c r="BC27" t="inlineStr">
        <is>
          <t>32285005543292</t>
        </is>
      </c>
      <c r="BD27" t="inlineStr">
        <is>
          <t>893501708</t>
        </is>
      </c>
    </row>
    <row r="28">
      <c r="A28" t="inlineStr">
        <is>
          <t>No</t>
        </is>
      </c>
      <c r="B28" t="inlineStr">
        <is>
          <t>NB1202 .P46 1993</t>
        </is>
      </c>
      <c r="C28" t="inlineStr">
        <is>
          <t>0                      NB 1202000P  46          1993</t>
        </is>
      </c>
      <c r="D28" t="inlineStr">
        <is>
          <t>The materials of sculpture / Nicholas Penny.</t>
        </is>
      </c>
      <c r="F28" t="inlineStr">
        <is>
          <t>No</t>
        </is>
      </c>
      <c r="G28" t="inlineStr">
        <is>
          <t>1</t>
        </is>
      </c>
      <c r="H28" t="inlineStr">
        <is>
          <t>No</t>
        </is>
      </c>
      <c r="I28" t="inlineStr">
        <is>
          <t>No</t>
        </is>
      </c>
      <c r="J28" t="inlineStr">
        <is>
          <t>0</t>
        </is>
      </c>
      <c r="K28" t="inlineStr">
        <is>
          <t>Penny, Nicholas, 1949-</t>
        </is>
      </c>
      <c r="L28" t="inlineStr">
        <is>
          <t>New Haven : Yale University Press, 1993.</t>
        </is>
      </c>
      <c r="M28" t="inlineStr">
        <is>
          <t>1993</t>
        </is>
      </c>
      <c r="O28" t="inlineStr">
        <is>
          <t>eng</t>
        </is>
      </c>
      <c r="P28" t="inlineStr">
        <is>
          <t>ctu</t>
        </is>
      </c>
      <c r="R28" t="inlineStr">
        <is>
          <t xml:space="preserve">NB </t>
        </is>
      </c>
      <c r="S28" t="n">
        <v>1</v>
      </c>
      <c r="T28" t="n">
        <v>1</v>
      </c>
      <c r="U28" t="inlineStr">
        <is>
          <t>2009-04-14</t>
        </is>
      </c>
      <c r="V28" t="inlineStr">
        <is>
          <t>2009-04-14</t>
        </is>
      </c>
      <c r="W28" t="inlineStr">
        <is>
          <t>2009-04-14</t>
        </is>
      </c>
      <c r="X28" t="inlineStr">
        <is>
          <t>2009-04-14</t>
        </is>
      </c>
      <c r="Y28" t="n">
        <v>1139</v>
      </c>
      <c r="Z28" t="n">
        <v>902</v>
      </c>
      <c r="AA28" t="n">
        <v>906</v>
      </c>
      <c r="AB28" t="n">
        <v>7</v>
      </c>
      <c r="AC28" t="n">
        <v>7</v>
      </c>
      <c r="AD28" t="n">
        <v>39</v>
      </c>
      <c r="AE28" t="n">
        <v>39</v>
      </c>
      <c r="AF28" t="n">
        <v>15</v>
      </c>
      <c r="AG28" t="n">
        <v>15</v>
      </c>
      <c r="AH28" t="n">
        <v>10</v>
      </c>
      <c r="AI28" t="n">
        <v>10</v>
      </c>
      <c r="AJ28" t="n">
        <v>19</v>
      </c>
      <c r="AK28" t="n">
        <v>19</v>
      </c>
      <c r="AL28" t="n">
        <v>5</v>
      </c>
      <c r="AM28" t="n">
        <v>5</v>
      </c>
      <c r="AN28" t="n">
        <v>0</v>
      </c>
      <c r="AO28" t="n">
        <v>0</v>
      </c>
      <c r="AP28" t="inlineStr">
        <is>
          <t>No</t>
        </is>
      </c>
      <c r="AQ28" t="inlineStr">
        <is>
          <t>No</t>
        </is>
      </c>
      <c r="AS28">
        <f>HYPERLINK("https://creighton-primo.hosted.exlibrisgroup.com/primo-explore/search?tab=default_tab&amp;search_scope=EVERYTHING&amp;vid=01CRU&amp;lang=en_US&amp;offset=0&amp;query=any,contains,991005306269702656","Catalog Record")</f>
        <v/>
      </c>
      <c r="AT28">
        <f>HYPERLINK("http://www.worldcat.org/oclc/27814956","WorldCat Record")</f>
        <v/>
      </c>
      <c r="AU28" t="inlineStr">
        <is>
          <t>329854:eng</t>
        </is>
      </c>
      <c r="AV28" t="inlineStr">
        <is>
          <t>27814956</t>
        </is>
      </c>
      <c r="AW28" t="inlineStr">
        <is>
          <t>991005306269702656</t>
        </is>
      </c>
      <c r="AX28" t="inlineStr">
        <is>
          <t>991005306269702656</t>
        </is>
      </c>
      <c r="AY28" t="inlineStr">
        <is>
          <t>2267160810002656</t>
        </is>
      </c>
      <c r="AZ28" t="inlineStr">
        <is>
          <t>BOOK</t>
        </is>
      </c>
      <c r="BB28" t="inlineStr">
        <is>
          <t>9780300055566</t>
        </is>
      </c>
      <c r="BC28" t="inlineStr">
        <is>
          <t>32285005515316</t>
        </is>
      </c>
      <c r="BD28" t="inlineStr">
        <is>
          <t>893507947</t>
        </is>
      </c>
    </row>
    <row r="29">
      <c r="A29" t="inlineStr">
        <is>
          <t>No</t>
        </is>
      </c>
      <c r="B29" t="inlineStr">
        <is>
          <t>NB1210.M3 K3 1990</t>
        </is>
      </c>
      <c r="C29" t="inlineStr">
        <is>
          <t>0                      NB 1210000M  3                  K  3           1990</t>
        </is>
      </c>
      <c r="D29" t="inlineStr">
        <is>
          <t>Marble queens and captives : women in nineteenth-century American sculpture / Joy S. Kasson.</t>
        </is>
      </c>
      <c r="F29" t="inlineStr">
        <is>
          <t>No</t>
        </is>
      </c>
      <c r="G29" t="inlineStr">
        <is>
          <t>1</t>
        </is>
      </c>
      <c r="H29" t="inlineStr">
        <is>
          <t>No</t>
        </is>
      </c>
      <c r="I29" t="inlineStr">
        <is>
          <t>No</t>
        </is>
      </c>
      <c r="J29" t="inlineStr">
        <is>
          <t>0</t>
        </is>
      </c>
      <c r="K29" t="inlineStr">
        <is>
          <t>Kasson, Joy S.</t>
        </is>
      </c>
      <c r="L29" t="inlineStr">
        <is>
          <t>New Haven : Yale University Press, c1990.</t>
        </is>
      </c>
      <c r="M29" t="inlineStr">
        <is>
          <t>1990</t>
        </is>
      </c>
      <c r="O29" t="inlineStr">
        <is>
          <t>eng</t>
        </is>
      </c>
      <c r="P29" t="inlineStr">
        <is>
          <t>ctu</t>
        </is>
      </c>
      <c r="R29" t="inlineStr">
        <is>
          <t xml:space="preserve">NB </t>
        </is>
      </c>
      <c r="S29" t="n">
        <v>8</v>
      </c>
      <c r="T29" t="n">
        <v>8</v>
      </c>
      <c r="U29" t="inlineStr">
        <is>
          <t>2006-03-29</t>
        </is>
      </c>
      <c r="V29" t="inlineStr">
        <is>
          <t>2006-03-29</t>
        </is>
      </c>
      <c r="W29" t="inlineStr">
        <is>
          <t>1991-06-04</t>
        </is>
      </c>
      <c r="X29" t="inlineStr">
        <is>
          <t>1991-06-04</t>
        </is>
      </c>
      <c r="Y29" t="n">
        <v>719</v>
      </c>
      <c r="Z29" t="n">
        <v>627</v>
      </c>
      <c r="AA29" t="n">
        <v>627</v>
      </c>
      <c r="AB29" t="n">
        <v>6</v>
      </c>
      <c r="AC29" t="n">
        <v>6</v>
      </c>
      <c r="AD29" t="n">
        <v>27</v>
      </c>
      <c r="AE29" t="n">
        <v>27</v>
      </c>
      <c r="AF29" t="n">
        <v>11</v>
      </c>
      <c r="AG29" t="n">
        <v>11</v>
      </c>
      <c r="AH29" t="n">
        <v>6</v>
      </c>
      <c r="AI29" t="n">
        <v>6</v>
      </c>
      <c r="AJ29" t="n">
        <v>12</v>
      </c>
      <c r="AK29" t="n">
        <v>12</v>
      </c>
      <c r="AL29" t="n">
        <v>4</v>
      </c>
      <c r="AM29" t="n">
        <v>4</v>
      </c>
      <c r="AN29" t="n">
        <v>0</v>
      </c>
      <c r="AO29" t="n">
        <v>0</v>
      </c>
      <c r="AP29" t="inlineStr">
        <is>
          <t>No</t>
        </is>
      </c>
      <c r="AQ29" t="inlineStr">
        <is>
          <t>No</t>
        </is>
      </c>
      <c r="AS29">
        <f>HYPERLINK("https://creighton-primo.hosted.exlibrisgroup.com/primo-explore/search?tab=default_tab&amp;search_scope=EVERYTHING&amp;vid=01CRU&amp;lang=en_US&amp;offset=0&amp;query=any,contains,991001622499702656","Catalog Record")</f>
        <v/>
      </c>
      <c r="AT29">
        <f>HYPERLINK("http://www.worldcat.org/oclc/20826123","WorldCat Record")</f>
        <v/>
      </c>
      <c r="AU29" t="inlineStr">
        <is>
          <t>373434193:eng</t>
        </is>
      </c>
      <c r="AV29" t="inlineStr">
        <is>
          <t>20826123</t>
        </is>
      </c>
      <c r="AW29" t="inlineStr">
        <is>
          <t>991001622499702656</t>
        </is>
      </c>
      <c r="AX29" t="inlineStr">
        <is>
          <t>991001622499702656</t>
        </is>
      </c>
      <c r="AY29" t="inlineStr">
        <is>
          <t>2261016330002656</t>
        </is>
      </c>
      <c r="AZ29" t="inlineStr">
        <is>
          <t>BOOK</t>
        </is>
      </c>
      <c r="BB29" t="inlineStr">
        <is>
          <t>9780300045963</t>
        </is>
      </c>
      <c r="BC29" t="inlineStr">
        <is>
          <t>32285000592245</t>
        </is>
      </c>
      <c r="BD29" t="inlineStr">
        <is>
          <t>893878990</t>
        </is>
      </c>
    </row>
    <row r="30">
      <c r="A30" t="inlineStr">
        <is>
          <t>No</t>
        </is>
      </c>
      <c r="B30" t="inlineStr">
        <is>
          <t>NB1220 .H3</t>
        </is>
      </c>
      <c r="C30" t="inlineStr">
        <is>
          <t>0                      NB 1220000H  3</t>
        </is>
      </c>
      <c r="D30" t="inlineStr">
        <is>
          <t>Welded sculpture.</t>
        </is>
      </c>
      <c r="F30" t="inlineStr">
        <is>
          <t>No</t>
        </is>
      </c>
      <c r="G30" t="inlineStr">
        <is>
          <t>1</t>
        </is>
      </c>
      <c r="H30" t="inlineStr">
        <is>
          <t>No</t>
        </is>
      </c>
      <c r="I30" t="inlineStr">
        <is>
          <t>No</t>
        </is>
      </c>
      <c r="J30" t="inlineStr">
        <is>
          <t>0</t>
        </is>
      </c>
      <c r="K30" t="inlineStr">
        <is>
          <t>Hale, Nathan Cabot.</t>
        </is>
      </c>
      <c r="L30" t="inlineStr">
        <is>
          <t>New York, Watson-Guptill Publications [1968]</t>
        </is>
      </c>
      <c r="M30" t="inlineStr">
        <is>
          <t>1968</t>
        </is>
      </c>
      <c r="O30" t="inlineStr">
        <is>
          <t>eng</t>
        </is>
      </c>
      <c r="P30" t="inlineStr">
        <is>
          <t>nyu</t>
        </is>
      </c>
      <c r="R30" t="inlineStr">
        <is>
          <t xml:space="preserve">NB </t>
        </is>
      </c>
      <c r="S30" t="n">
        <v>1</v>
      </c>
      <c r="T30" t="n">
        <v>1</v>
      </c>
      <c r="U30" t="inlineStr">
        <is>
          <t>2000-10-10</t>
        </is>
      </c>
      <c r="V30" t="inlineStr">
        <is>
          <t>2000-10-10</t>
        </is>
      </c>
      <c r="W30" t="inlineStr">
        <is>
          <t>1997-07-03</t>
        </is>
      </c>
      <c r="X30" t="inlineStr">
        <is>
          <t>1997-07-03</t>
        </is>
      </c>
      <c r="Y30" t="n">
        <v>877</v>
      </c>
      <c r="Z30" t="n">
        <v>818</v>
      </c>
      <c r="AA30" t="n">
        <v>863</v>
      </c>
      <c r="AB30" t="n">
        <v>7</v>
      </c>
      <c r="AC30" t="n">
        <v>7</v>
      </c>
      <c r="AD30" t="n">
        <v>25</v>
      </c>
      <c r="AE30" t="n">
        <v>25</v>
      </c>
      <c r="AF30" t="n">
        <v>11</v>
      </c>
      <c r="AG30" t="n">
        <v>11</v>
      </c>
      <c r="AH30" t="n">
        <v>3</v>
      </c>
      <c r="AI30" t="n">
        <v>3</v>
      </c>
      <c r="AJ30" t="n">
        <v>9</v>
      </c>
      <c r="AK30" t="n">
        <v>9</v>
      </c>
      <c r="AL30" t="n">
        <v>6</v>
      </c>
      <c r="AM30" t="n">
        <v>6</v>
      </c>
      <c r="AN30" t="n">
        <v>0</v>
      </c>
      <c r="AO30" t="n">
        <v>0</v>
      </c>
      <c r="AP30" t="inlineStr">
        <is>
          <t>No</t>
        </is>
      </c>
      <c r="AQ30" t="inlineStr">
        <is>
          <t>Yes</t>
        </is>
      </c>
      <c r="AR30">
        <f>HYPERLINK("http://catalog.hathitrust.org/Record/001468194","HathiTrust Record")</f>
        <v/>
      </c>
      <c r="AS30">
        <f>HYPERLINK("https://creighton-primo.hosted.exlibrisgroup.com/primo-explore/search?tab=default_tab&amp;search_scope=EVERYTHING&amp;vid=01CRU&amp;lang=en_US&amp;offset=0&amp;query=any,contains,991002183299702656","Catalog Record")</f>
        <v/>
      </c>
      <c r="AT30">
        <f>HYPERLINK("http://www.worldcat.org/oclc/279437","WorldCat Record")</f>
        <v/>
      </c>
      <c r="AU30" t="inlineStr">
        <is>
          <t>1423575:eng</t>
        </is>
      </c>
      <c r="AV30" t="inlineStr">
        <is>
          <t>279437</t>
        </is>
      </c>
      <c r="AW30" t="inlineStr">
        <is>
          <t>991002183299702656</t>
        </is>
      </c>
      <c r="AX30" t="inlineStr">
        <is>
          <t>991002183299702656</t>
        </is>
      </c>
      <c r="AY30" t="inlineStr">
        <is>
          <t>2261772540002656</t>
        </is>
      </c>
      <c r="AZ30" t="inlineStr">
        <is>
          <t>BOOK</t>
        </is>
      </c>
      <c r="BC30" t="inlineStr">
        <is>
          <t>32285002864105</t>
        </is>
      </c>
      <c r="BD30" t="inlineStr">
        <is>
          <t>893408788</t>
        </is>
      </c>
    </row>
    <row r="31">
      <c r="A31" t="inlineStr">
        <is>
          <t>No</t>
        </is>
      </c>
      <c r="B31" t="inlineStr">
        <is>
          <t>NB1220 .H3 1994</t>
        </is>
      </c>
      <c r="C31" t="inlineStr">
        <is>
          <t>0                      NB 1220000H  3           1994</t>
        </is>
      </c>
      <c r="D31" t="inlineStr">
        <is>
          <t>Creating welded sculpture / Nathan Cabot Hale.</t>
        </is>
      </c>
      <c r="F31" t="inlineStr">
        <is>
          <t>No</t>
        </is>
      </c>
      <c r="G31" t="inlineStr">
        <is>
          <t>1</t>
        </is>
      </c>
      <c r="H31" t="inlineStr">
        <is>
          <t>No</t>
        </is>
      </c>
      <c r="I31" t="inlineStr">
        <is>
          <t>No</t>
        </is>
      </c>
      <c r="J31" t="inlineStr">
        <is>
          <t>0</t>
        </is>
      </c>
      <c r="K31" t="inlineStr">
        <is>
          <t>Hale, Nathan Cabot.</t>
        </is>
      </c>
      <c r="L31" t="inlineStr">
        <is>
          <t>New York : Dover, c1994.</t>
        </is>
      </c>
      <c r="M31" t="inlineStr">
        <is>
          <t>1994</t>
        </is>
      </c>
      <c r="O31" t="inlineStr">
        <is>
          <t>eng</t>
        </is>
      </c>
      <c r="P31" t="inlineStr">
        <is>
          <t>nyu</t>
        </is>
      </c>
      <c r="R31" t="inlineStr">
        <is>
          <t xml:space="preserve">NB </t>
        </is>
      </c>
      <c r="S31" t="n">
        <v>1</v>
      </c>
      <c r="T31" t="n">
        <v>1</v>
      </c>
      <c r="U31" t="inlineStr">
        <is>
          <t>2005-04-19</t>
        </is>
      </c>
      <c r="V31" t="inlineStr">
        <is>
          <t>2005-04-19</t>
        </is>
      </c>
      <c r="W31" t="inlineStr">
        <is>
          <t>2005-04-19</t>
        </is>
      </c>
      <c r="X31" t="inlineStr">
        <is>
          <t>2005-04-19</t>
        </is>
      </c>
      <c r="Y31" t="n">
        <v>242</v>
      </c>
      <c r="Z31" t="n">
        <v>206</v>
      </c>
      <c r="AA31" t="n">
        <v>215</v>
      </c>
      <c r="AB31" t="n">
        <v>4</v>
      </c>
      <c r="AC31" t="n">
        <v>5</v>
      </c>
      <c r="AD31" t="n">
        <v>4</v>
      </c>
      <c r="AE31" t="n">
        <v>6</v>
      </c>
      <c r="AF31" t="n">
        <v>0</v>
      </c>
      <c r="AG31" t="n">
        <v>1</v>
      </c>
      <c r="AH31" t="n">
        <v>0</v>
      </c>
      <c r="AI31" t="n">
        <v>1</v>
      </c>
      <c r="AJ31" t="n">
        <v>1</v>
      </c>
      <c r="AK31" t="n">
        <v>1</v>
      </c>
      <c r="AL31" t="n">
        <v>3</v>
      </c>
      <c r="AM31" t="n">
        <v>4</v>
      </c>
      <c r="AN31" t="n">
        <v>0</v>
      </c>
      <c r="AO31" t="n">
        <v>0</v>
      </c>
      <c r="AP31" t="inlineStr">
        <is>
          <t>No</t>
        </is>
      </c>
      <c r="AQ31" t="inlineStr">
        <is>
          <t>No</t>
        </is>
      </c>
      <c r="AS31">
        <f>HYPERLINK("https://creighton-primo.hosted.exlibrisgroup.com/primo-explore/search?tab=default_tab&amp;search_scope=EVERYTHING&amp;vid=01CRU&amp;lang=en_US&amp;offset=0&amp;query=any,contains,991004492889702656","Catalog Record")</f>
        <v/>
      </c>
      <c r="AT31">
        <f>HYPERLINK("http://www.worldcat.org/oclc/30068127","WorldCat Record")</f>
        <v/>
      </c>
      <c r="AU31" t="inlineStr">
        <is>
          <t>3857471661:eng</t>
        </is>
      </c>
      <c r="AV31" t="inlineStr">
        <is>
          <t>30068127</t>
        </is>
      </c>
      <c r="AW31" t="inlineStr">
        <is>
          <t>991004492889702656</t>
        </is>
      </c>
      <c r="AX31" t="inlineStr">
        <is>
          <t>991004492889702656</t>
        </is>
      </c>
      <c r="AY31" t="inlineStr">
        <is>
          <t>2256524270002656</t>
        </is>
      </c>
      <c r="AZ31" t="inlineStr">
        <is>
          <t>BOOK</t>
        </is>
      </c>
      <c r="BB31" t="inlineStr">
        <is>
          <t>9780486281353</t>
        </is>
      </c>
      <c r="BC31" t="inlineStr">
        <is>
          <t>32285005031421</t>
        </is>
      </c>
      <c r="BD31" t="inlineStr">
        <is>
          <t>893263302</t>
        </is>
      </c>
    </row>
    <row r="32">
      <c r="A32" t="inlineStr">
        <is>
          <t>No</t>
        </is>
      </c>
      <c r="B32" t="inlineStr">
        <is>
          <t>NB1220 .M4</t>
        </is>
      </c>
      <c r="C32" t="inlineStr">
        <is>
          <t>0                      NB 1220000M  4</t>
        </is>
      </c>
      <c r="D32" t="inlineStr">
        <is>
          <t>Direct metal sculpture; creative techniques and appreciation, by Dona Meilach and Don Seiden.</t>
        </is>
      </c>
      <c r="F32" t="inlineStr">
        <is>
          <t>No</t>
        </is>
      </c>
      <c r="G32" t="inlineStr">
        <is>
          <t>1</t>
        </is>
      </c>
      <c r="H32" t="inlineStr">
        <is>
          <t>No</t>
        </is>
      </c>
      <c r="I32" t="inlineStr">
        <is>
          <t>No</t>
        </is>
      </c>
      <c r="J32" t="inlineStr">
        <is>
          <t>0</t>
        </is>
      </c>
      <c r="K32" t="inlineStr">
        <is>
          <t>Meilach, Dona Z.</t>
        </is>
      </c>
      <c r="L32" t="inlineStr">
        <is>
          <t>New York, Crown c1966</t>
        </is>
      </c>
      <c r="M32" t="inlineStr">
        <is>
          <t>1966</t>
        </is>
      </c>
      <c r="O32" t="inlineStr">
        <is>
          <t>eng</t>
        </is>
      </c>
      <c r="P32" t="inlineStr">
        <is>
          <t>nyu</t>
        </is>
      </c>
      <c r="R32" t="inlineStr">
        <is>
          <t xml:space="preserve">NB </t>
        </is>
      </c>
      <c r="S32" t="n">
        <v>1</v>
      </c>
      <c r="T32" t="n">
        <v>1</v>
      </c>
      <c r="U32" t="inlineStr">
        <is>
          <t>2000-10-10</t>
        </is>
      </c>
      <c r="V32" t="inlineStr">
        <is>
          <t>2000-10-10</t>
        </is>
      </c>
      <c r="W32" t="inlineStr">
        <is>
          <t>1997-07-03</t>
        </is>
      </c>
      <c r="X32" t="inlineStr">
        <is>
          <t>1997-07-03</t>
        </is>
      </c>
      <c r="Y32" t="n">
        <v>1073</v>
      </c>
      <c r="Z32" t="n">
        <v>1013</v>
      </c>
      <c r="AA32" t="n">
        <v>1099</v>
      </c>
      <c r="AB32" t="n">
        <v>11</v>
      </c>
      <c r="AC32" t="n">
        <v>11</v>
      </c>
      <c r="AD32" t="n">
        <v>31</v>
      </c>
      <c r="AE32" t="n">
        <v>31</v>
      </c>
      <c r="AF32" t="n">
        <v>15</v>
      </c>
      <c r="AG32" t="n">
        <v>15</v>
      </c>
      <c r="AH32" t="n">
        <v>3</v>
      </c>
      <c r="AI32" t="n">
        <v>3</v>
      </c>
      <c r="AJ32" t="n">
        <v>8</v>
      </c>
      <c r="AK32" t="n">
        <v>8</v>
      </c>
      <c r="AL32" t="n">
        <v>9</v>
      </c>
      <c r="AM32" t="n">
        <v>9</v>
      </c>
      <c r="AN32" t="n">
        <v>0</v>
      </c>
      <c r="AO32" t="n">
        <v>0</v>
      </c>
      <c r="AP32" t="inlineStr">
        <is>
          <t>No</t>
        </is>
      </c>
      <c r="AQ32" t="inlineStr">
        <is>
          <t>No</t>
        </is>
      </c>
      <c r="AS32">
        <f>HYPERLINK("https://creighton-primo.hosted.exlibrisgroup.com/primo-explore/search?tab=default_tab&amp;search_scope=EVERYTHING&amp;vid=01CRU&amp;lang=en_US&amp;offset=0&amp;query=any,contains,991002895629702656","Catalog Record")</f>
        <v/>
      </c>
      <c r="AT32">
        <f>HYPERLINK("http://www.worldcat.org/oclc/514134","WorldCat Record")</f>
        <v/>
      </c>
      <c r="AU32" t="inlineStr">
        <is>
          <t>836636887:eng</t>
        </is>
      </c>
      <c r="AV32" t="inlineStr">
        <is>
          <t>514134</t>
        </is>
      </c>
      <c r="AW32" t="inlineStr">
        <is>
          <t>991002895629702656</t>
        </is>
      </c>
      <c r="AX32" t="inlineStr">
        <is>
          <t>991002895629702656</t>
        </is>
      </c>
      <c r="AY32" t="inlineStr">
        <is>
          <t>2262095520002656</t>
        </is>
      </c>
      <c r="AZ32" t="inlineStr">
        <is>
          <t>BOOK</t>
        </is>
      </c>
      <c r="BC32" t="inlineStr">
        <is>
          <t>32285002864113</t>
        </is>
      </c>
      <c r="BD32" t="inlineStr">
        <is>
          <t>893880545</t>
        </is>
      </c>
    </row>
    <row r="33">
      <c r="A33" t="inlineStr">
        <is>
          <t>No</t>
        </is>
      </c>
      <c r="B33" t="inlineStr">
        <is>
          <t>NB1220 .M65 1996</t>
        </is>
      </c>
      <c r="C33" t="inlineStr">
        <is>
          <t>0                      NB 1220000M  65          1996</t>
        </is>
      </c>
      <c r="D33" t="inlineStr">
        <is>
          <t>Gold, silver, and bronze : metal sculpture of the Roman baroque / Jennifer Montagu.</t>
        </is>
      </c>
      <c r="F33" t="inlineStr">
        <is>
          <t>No</t>
        </is>
      </c>
      <c r="G33" t="inlineStr">
        <is>
          <t>1</t>
        </is>
      </c>
      <c r="H33" t="inlineStr">
        <is>
          <t>No</t>
        </is>
      </c>
      <c r="I33" t="inlineStr">
        <is>
          <t>No</t>
        </is>
      </c>
      <c r="J33" t="inlineStr">
        <is>
          <t>0</t>
        </is>
      </c>
      <c r="K33" t="inlineStr">
        <is>
          <t>Montagu, Jennifer.</t>
        </is>
      </c>
      <c r="L33" t="inlineStr">
        <is>
          <t>Princeton, N.J. : Princeton University Press, c1996.</t>
        </is>
      </c>
      <c r="M33" t="inlineStr">
        <is>
          <t>1996</t>
        </is>
      </c>
      <c r="O33" t="inlineStr">
        <is>
          <t>eng</t>
        </is>
      </c>
      <c r="P33" t="inlineStr">
        <is>
          <t>nju</t>
        </is>
      </c>
      <c r="Q33" t="inlineStr">
        <is>
          <t>Bollingen series ; XXXV, 39</t>
        </is>
      </c>
      <c r="R33" t="inlineStr">
        <is>
          <t xml:space="preserve">NB </t>
        </is>
      </c>
      <c r="S33" t="n">
        <v>3</v>
      </c>
      <c r="T33" t="n">
        <v>3</v>
      </c>
      <c r="U33" t="inlineStr">
        <is>
          <t>1999-01-19</t>
        </is>
      </c>
      <c r="V33" t="inlineStr">
        <is>
          <t>1999-01-19</t>
        </is>
      </c>
      <c r="W33" t="inlineStr">
        <is>
          <t>1997-11-03</t>
        </is>
      </c>
      <c r="X33" t="inlineStr">
        <is>
          <t>1997-11-03</t>
        </is>
      </c>
      <c r="Y33" t="n">
        <v>380</v>
      </c>
      <c r="Z33" t="n">
        <v>321</v>
      </c>
      <c r="AA33" t="n">
        <v>334</v>
      </c>
      <c r="AB33" t="n">
        <v>2</v>
      </c>
      <c r="AC33" t="n">
        <v>2</v>
      </c>
      <c r="AD33" t="n">
        <v>18</v>
      </c>
      <c r="AE33" t="n">
        <v>18</v>
      </c>
      <c r="AF33" t="n">
        <v>5</v>
      </c>
      <c r="AG33" t="n">
        <v>5</v>
      </c>
      <c r="AH33" t="n">
        <v>7</v>
      </c>
      <c r="AI33" t="n">
        <v>7</v>
      </c>
      <c r="AJ33" t="n">
        <v>10</v>
      </c>
      <c r="AK33" t="n">
        <v>10</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HYPERLINK("https://creighton-primo.hosted.exlibrisgroup.com/primo-explore/search?tab=default_tab&amp;search_scope=EVERYTHING&amp;vid=01CRU&amp;lang=en_US&amp;offset=0&amp;query=any,contains,991002552099702656","Catalog Record")</f>
        <v/>
      </c>
      <c r="AT33">
        <f>HYPERLINK("http://www.worldcat.org/oclc/33162421","WorldCat Record")</f>
        <v/>
      </c>
      <c r="AU33" t="inlineStr">
        <is>
          <t>836911282:eng</t>
        </is>
      </c>
      <c r="AV33" t="inlineStr">
        <is>
          <t>33162421</t>
        </is>
      </c>
      <c r="AW33" t="inlineStr">
        <is>
          <t>991002552099702656</t>
        </is>
      </c>
      <c r="AX33" t="inlineStr">
        <is>
          <t>991002552099702656</t>
        </is>
      </c>
      <c r="AY33" t="inlineStr">
        <is>
          <t>2262362200002656</t>
        </is>
      </c>
      <c r="AZ33" t="inlineStr">
        <is>
          <t>BOOK</t>
        </is>
      </c>
      <c r="BB33" t="inlineStr">
        <is>
          <t>9780691027364</t>
        </is>
      </c>
      <c r="BC33" t="inlineStr">
        <is>
          <t>32285003259669</t>
        </is>
      </c>
      <c r="BD33" t="inlineStr">
        <is>
          <t>893903956</t>
        </is>
      </c>
    </row>
    <row r="34">
      <c r="A34" t="inlineStr">
        <is>
          <t>No</t>
        </is>
      </c>
      <c r="B34" t="inlineStr">
        <is>
          <t>NB1255.C85 R38 1996</t>
        </is>
      </c>
      <c r="C34" t="inlineStr">
        <is>
          <t>0                      NB 1255000C  85                 R  38          1996</t>
        </is>
      </c>
      <c r="D34" t="inlineStr">
        <is>
          <t>Dreams and reverie : images of otherworld mates among the Baule, West Africa / Philip L. Ravenhill.</t>
        </is>
      </c>
      <c r="F34" t="inlineStr">
        <is>
          <t>No</t>
        </is>
      </c>
      <c r="G34" t="inlineStr">
        <is>
          <t>1</t>
        </is>
      </c>
      <c r="H34" t="inlineStr">
        <is>
          <t>No</t>
        </is>
      </c>
      <c r="I34" t="inlineStr">
        <is>
          <t>No</t>
        </is>
      </c>
      <c r="J34" t="inlineStr">
        <is>
          <t>0</t>
        </is>
      </c>
      <c r="K34" t="inlineStr">
        <is>
          <t>Ravenhill, Philip L.</t>
        </is>
      </c>
      <c r="L34" t="inlineStr">
        <is>
          <t>Washington : Smithsonian Institution Press, c1996.</t>
        </is>
      </c>
      <c r="M34" t="inlineStr">
        <is>
          <t>1996</t>
        </is>
      </c>
      <c r="O34" t="inlineStr">
        <is>
          <t>eng</t>
        </is>
      </c>
      <c r="P34" t="inlineStr">
        <is>
          <t>dcu</t>
        </is>
      </c>
      <c r="R34" t="inlineStr">
        <is>
          <t xml:space="preserve">NB </t>
        </is>
      </c>
      <c r="S34" t="n">
        <v>2</v>
      </c>
      <c r="T34" t="n">
        <v>2</v>
      </c>
      <c r="U34" t="inlineStr">
        <is>
          <t>2010-12-10</t>
        </is>
      </c>
      <c r="V34" t="inlineStr">
        <is>
          <t>2010-12-10</t>
        </is>
      </c>
      <c r="W34" t="inlineStr">
        <is>
          <t>1999-11-03</t>
        </is>
      </c>
      <c r="X34" t="inlineStr">
        <is>
          <t>1999-11-03</t>
        </is>
      </c>
      <c r="Y34" t="n">
        <v>333</v>
      </c>
      <c r="Z34" t="n">
        <v>288</v>
      </c>
      <c r="AA34" t="n">
        <v>289</v>
      </c>
      <c r="AB34" t="n">
        <v>3</v>
      </c>
      <c r="AC34" t="n">
        <v>3</v>
      </c>
      <c r="AD34" t="n">
        <v>12</v>
      </c>
      <c r="AE34" t="n">
        <v>12</v>
      </c>
      <c r="AF34" t="n">
        <v>2</v>
      </c>
      <c r="AG34" t="n">
        <v>2</v>
      </c>
      <c r="AH34" t="n">
        <v>4</v>
      </c>
      <c r="AI34" t="n">
        <v>4</v>
      </c>
      <c r="AJ34" t="n">
        <v>6</v>
      </c>
      <c r="AK34" t="n">
        <v>6</v>
      </c>
      <c r="AL34" t="n">
        <v>2</v>
      </c>
      <c r="AM34" t="n">
        <v>2</v>
      </c>
      <c r="AN34" t="n">
        <v>0</v>
      </c>
      <c r="AO34" t="n">
        <v>0</v>
      </c>
      <c r="AP34" t="inlineStr">
        <is>
          <t>No</t>
        </is>
      </c>
      <c r="AQ34" t="inlineStr">
        <is>
          <t>Yes</t>
        </is>
      </c>
      <c r="AR34">
        <f>HYPERLINK("http://catalog.hathitrust.org/Record/003099516","HathiTrust Record")</f>
        <v/>
      </c>
      <c r="AS34">
        <f>HYPERLINK("https://creighton-primo.hosted.exlibrisgroup.com/primo-explore/search?tab=default_tab&amp;search_scope=EVERYTHING&amp;vid=01CRU&amp;lang=en_US&amp;offset=0&amp;query=any,contains,991002593069702656","Catalog Record")</f>
        <v/>
      </c>
      <c r="AT34">
        <f>HYPERLINK("http://www.worldcat.org/oclc/33970238","WorldCat Record")</f>
        <v/>
      </c>
      <c r="AU34" t="inlineStr">
        <is>
          <t>39051050:eng</t>
        </is>
      </c>
      <c r="AV34" t="inlineStr">
        <is>
          <t>33970238</t>
        </is>
      </c>
      <c r="AW34" t="inlineStr">
        <is>
          <t>991002593069702656</t>
        </is>
      </c>
      <c r="AX34" t="inlineStr">
        <is>
          <t>991002593069702656</t>
        </is>
      </c>
      <c r="AY34" t="inlineStr">
        <is>
          <t>2263006240002656</t>
        </is>
      </c>
      <c r="AZ34" t="inlineStr">
        <is>
          <t>BOOK</t>
        </is>
      </c>
      <c r="BB34" t="inlineStr">
        <is>
          <t>9781560986508</t>
        </is>
      </c>
      <c r="BC34" t="inlineStr">
        <is>
          <t>32285003617817</t>
        </is>
      </c>
      <c r="BD34" t="inlineStr">
        <is>
          <t>893427766</t>
        </is>
      </c>
    </row>
    <row r="35">
      <c r="A35" t="inlineStr">
        <is>
          <t>No</t>
        </is>
      </c>
      <c r="B35" t="inlineStr">
        <is>
          <t>NB1265 .E17 2001</t>
        </is>
      </c>
      <c r="C35" t="inlineStr">
        <is>
          <t>0                      NB 1265000E  17          2001</t>
        </is>
      </c>
      <c r="D35" t="inlineStr">
        <is>
          <t>Earth and fire : Italian terracotta sculpture from Donatello to Canova / edited by Bruce Boucher ; with the collaboration of Peta Motture ... [et al.].</t>
        </is>
      </c>
      <c r="F35" t="inlineStr">
        <is>
          <t>No</t>
        </is>
      </c>
      <c r="G35" t="inlineStr">
        <is>
          <t>1</t>
        </is>
      </c>
      <c r="H35" t="inlineStr">
        <is>
          <t>No</t>
        </is>
      </c>
      <c r="I35" t="inlineStr">
        <is>
          <t>No</t>
        </is>
      </c>
      <c r="J35" t="inlineStr">
        <is>
          <t>0</t>
        </is>
      </c>
      <c r="L35" t="inlineStr">
        <is>
          <t>New Haven : Yale University Press, c2001.</t>
        </is>
      </c>
      <c r="M35" t="inlineStr">
        <is>
          <t>2001</t>
        </is>
      </c>
      <c r="O35" t="inlineStr">
        <is>
          <t>eng</t>
        </is>
      </c>
      <c r="P35" t="inlineStr">
        <is>
          <t>ctu</t>
        </is>
      </c>
      <c r="R35" t="inlineStr">
        <is>
          <t xml:space="preserve">NB </t>
        </is>
      </c>
      <c r="S35" t="n">
        <v>1</v>
      </c>
      <c r="T35" t="n">
        <v>1</v>
      </c>
      <c r="U35" t="inlineStr">
        <is>
          <t>2009-04-06</t>
        </is>
      </c>
      <c r="V35" t="inlineStr">
        <is>
          <t>2009-04-06</t>
        </is>
      </c>
      <c r="W35" t="inlineStr">
        <is>
          <t>2009-04-06</t>
        </is>
      </c>
      <c r="X35" t="inlineStr">
        <is>
          <t>2009-04-06</t>
        </is>
      </c>
      <c r="Y35" t="n">
        <v>576</v>
      </c>
      <c r="Z35" t="n">
        <v>470</v>
      </c>
      <c r="AA35" t="n">
        <v>472</v>
      </c>
      <c r="AB35" t="n">
        <v>3</v>
      </c>
      <c r="AC35" t="n">
        <v>3</v>
      </c>
      <c r="AD35" t="n">
        <v>14</v>
      </c>
      <c r="AE35" t="n">
        <v>15</v>
      </c>
      <c r="AF35" t="n">
        <v>5</v>
      </c>
      <c r="AG35" t="n">
        <v>5</v>
      </c>
      <c r="AH35" t="n">
        <v>6</v>
      </c>
      <c r="AI35" t="n">
        <v>6</v>
      </c>
      <c r="AJ35" t="n">
        <v>7</v>
      </c>
      <c r="AK35" t="n">
        <v>8</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HYPERLINK("https://creighton-primo.hosted.exlibrisgroup.com/primo-explore/search?tab=default_tab&amp;search_scope=EVERYTHING&amp;vid=01CRU&amp;lang=en_US&amp;offset=0&amp;query=any,contains,991005306169702656","Catalog Record")</f>
        <v/>
      </c>
      <c r="AT35">
        <f>HYPERLINK("http://www.worldcat.org/oclc/48236706","WorldCat Record")</f>
        <v/>
      </c>
      <c r="AU35" t="inlineStr">
        <is>
          <t>1162418976:eng</t>
        </is>
      </c>
      <c r="AV35" t="inlineStr">
        <is>
          <t>48236706</t>
        </is>
      </c>
      <c r="AW35" t="inlineStr">
        <is>
          <t>991005306169702656</t>
        </is>
      </c>
      <c r="AX35" t="inlineStr">
        <is>
          <t>991005306169702656</t>
        </is>
      </c>
      <c r="AY35" t="inlineStr">
        <is>
          <t>2262792940002656</t>
        </is>
      </c>
      <c r="AZ35" t="inlineStr">
        <is>
          <t>BOOK</t>
        </is>
      </c>
      <c r="BB35" t="inlineStr">
        <is>
          <t>9780300090802</t>
        </is>
      </c>
      <c r="BC35" t="inlineStr">
        <is>
          <t>32285005513584</t>
        </is>
      </c>
      <c r="BD35" t="inlineStr">
        <is>
          <t>893789771</t>
        </is>
      </c>
    </row>
    <row r="36">
      <c r="A36" t="inlineStr">
        <is>
          <t>No</t>
        </is>
      </c>
      <c r="B36" t="inlineStr">
        <is>
          <t>NB1270.P3 J58</t>
        </is>
      </c>
      <c r="C36" t="inlineStr">
        <is>
          <t>0                      NB 1270000P  3                  J  58</t>
        </is>
      </c>
      <c r="D36" t="inlineStr">
        <is>
          <t>Creating with paper; basic forms and variations.</t>
        </is>
      </c>
      <c r="F36" t="inlineStr">
        <is>
          <t>No</t>
        </is>
      </c>
      <c r="G36" t="inlineStr">
        <is>
          <t>1</t>
        </is>
      </c>
      <c r="H36" t="inlineStr">
        <is>
          <t>No</t>
        </is>
      </c>
      <c r="I36" t="inlineStr">
        <is>
          <t>No</t>
        </is>
      </c>
      <c r="J36" t="inlineStr">
        <is>
          <t>0</t>
        </is>
      </c>
      <c r="K36" t="inlineStr">
        <is>
          <t>Johnson, Pauline, 1905-</t>
        </is>
      </c>
      <c r="L36" t="inlineStr">
        <is>
          <t>Seattle, University of Washington Press, 1958.</t>
        </is>
      </c>
      <c r="M36" t="inlineStr">
        <is>
          <t>1958</t>
        </is>
      </c>
      <c r="O36" t="inlineStr">
        <is>
          <t>eng</t>
        </is>
      </c>
      <c r="P36" t="inlineStr">
        <is>
          <t>wau</t>
        </is>
      </c>
      <c r="R36" t="inlineStr">
        <is>
          <t xml:space="preserve">NB </t>
        </is>
      </c>
      <c r="S36" t="n">
        <v>1</v>
      </c>
      <c r="T36" t="n">
        <v>1</v>
      </c>
      <c r="U36" t="inlineStr">
        <is>
          <t>2001-11-16</t>
        </is>
      </c>
      <c r="V36" t="inlineStr">
        <is>
          <t>2001-11-16</t>
        </is>
      </c>
      <c r="W36" t="inlineStr">
        <is>
          <t>1997-07-03</t>
        </is>
      </c>
      <c r="X36" t="inlineStr">
        <is>
          <t>1997-07-03</t>
        </is>
      </c>
      <c r="Y36" t="n">
        <v>1127</v>
      </c>
      <c r="Z36" t="n">
        <v>1052</v>
      </c>
      <c r="AA36" t="n">
        <v>1293</v>
      </c>
      <c r="AB36" t="n">
        <v>11</v>
      </c>
      <c r="AC36" t="n">
        <v>12</v>
      </c>
      <c r="AD36" t="n">
        <v>26</v>
      </c>
      <c r="AE36" t="n">
        <v>27</v>
      </c>
      <c r="AF36" t="n">
        <v>11</v>
      </c>
      <c r="AG36" t="n">
        <v>12</v>
      </c>
      <c r="AH36" t="n">
        <v>4</v>
      </c>
      <c r="AI36" t="n">
        <v>4</v>
      </c>
      <c r="AJ36" t="n">
        <v>8</v>
      </c>
      <c r="AK36" t="n">
        <v>8</v>
      </c>
      <c r="AL36" t="n">
        <v>7</v>
      </c>
      <c r="AM36" t="n">
        <v>7</v>
      </c>
      <c r="AN36" t="n">
        <v>0</v>
      </c>
      <c r="AO36" t="n">
        <v>0</v>
      </c>
      <c r="AP36" t="inlineStr">
        <is>
          <t>No</t>
        </is>
      </c>
      <c r="AQ36" t="inlineStr">
        <is>
          <t>No</t>
        </is>
      </c>
      <c r="AS36">
        <f>HYPERLINK("https://creighton-primo.hosted.exlibrisgroup.com/primo-explore/search?tab=default_tab&amp;search_scope=EVERYTHING&amp;vid=01CRU&amp;lang=en_US&amp;offset=0&amp;query=any,contains,991002911189702656","Catalog Record")</f>
        <v/>
      </c>
      <c r="AT36">
        <f>HYPERLINK("http://www.worldcat.org/oclc/522118","WorldCat Record")</f>
        <v/>
      </c>
      <c r="AU36" t="inlineStr">
        <is>
          <t>433672:eng</t>
        </is>
      </c>
      <c r="AV36" t="inlineStr">
        <is>
          <t>522118</t>
        </is>
      </c>
      <c r="AW36" t="inlineStr">
        <is>
          <t>991002911189702656</t>
        </is>
      </c>
      <c r="AX36" t="inlineStr">
        <is>
          <t>991002911189702656</t>
        </is>
      </c>
      <c r="AY36" t="inlineStr">
        <is>
          <t>2260011940002656</t>
        </is>
      </c>
      <c r="AZ36" t="inlineStr">
        <is>
          <t>BOOK</t>
        </is>
      </c>
      <c r="BC36" t="inlineStr">
        <is>
          <t>32285002864139</t>
        </is>
      </c>
      <c r="BD36" t="inlineStr">
        <is>
          <t>893710834</t>
        </is>
      </c>
    </row>
    <row r="37">
      <c r="A37" t="inlineStr">
        <is>
          <t>No</t>
        </is>
      </c>
      <c r="B37" t="inlineStr">
        <is>
          <t>NB1270.P5 B85</t>
        </is>
      </c>
      <c r="C37" t="inlineStr">
        <is>
          <t>0                      NB 1270000P  5                  B  85</t>
        </is>
      </c>
      <c r="D37" t="inlineStr">
        <is>
          <t>Acrylic for sculpture and design.</t>
        </is>
      </c>
      <c r="F37" t="inlineStr">
        <is>
          <t>No</t>
        </is>
      </c>
      <c r="G37" t="inlineStr">
        <is>
          <t>1</t>
        </is>
      </c>
      <c r="H37" t="inlineStr">
        <is>
          <t>No</t>
        </is>
      </c>
      <c r="I37" t="inlineStr">
        <is>
          <t>No</t>
        </is>
      </c>
      <c r="J37" t="inlineStr">
        <is>
          <t>0</t>
        </is>
      </c>
      <c r="K37" t="inlineStr">
        <is>
          <t>Bunch, Clarence.</t>
        </is>
      </c>
      <c r="L37" t="inlineStr">
        <is>
          <t>New York, Van Nostrand Reinhold [1972]</t>
        </is>
      </c>
      <c r="M37" t="inlineStr">
        <is>
          <t>1972</t>
        </is>
      </c>
      <c r="O37" t="inlineStr">
        <is>
          <t>eng</t>
        </is>
      </c>
      <c r="P37" t="inlineStr">
        <is>
          <t>nyu</t>
        </is>
      </c>
      <c r="R37" t="inlineStr">
        <is>
          <t xml:space="preserve">NB </t>
        </is>
      </c>
      <c r="S37" t="n">
        <v>2</v>
      </c>
      <c r="T37" t="n">
        <v>2</v>
      </c>
      <c r="U37" t="inlineStr">
        <is>
          <t>1998-09-17</t>
        </is>
      </c>
      <c r="V37" t="inlineStr">
        <is>
          <t>1998-09-17</t>
        </is>
      </c>
      <c r="W37" t="inlineStr">
        <is>
          <t>1997-07-03</t>
        </is>
      </c>
      <c r="X37" t="inlineStr">
        <is>
          <t>1997-07-03</t>
        </is>
      </c>
      <c r="Y37" t="n">
        <v>553</v>
      </c>
      <c r="Z37" t="n">
        <v>482</v>
      </c>
      <c r="AA37" t="n">
        <v>489</v>
      </c>
      <c r="AB37" t="n">
        <v>4</v>
      </c>
      <c r="AC37" t="n">
        <v>4</v>
      </c>
      <c r="AD37" t="n">
        <v>12</v>
      </c>
      <c r="AE37" t="n">
        <v>12</v>
      </c>
      <c r="AF37" t="n">
        <v>5</v>
      </c>
      <c r="AG37" t="n">
        <v>5</v>
      </c>
      <c r="AH37" t="n">
        <v>1</v>
      </c>
      <c r="AI37" t="n">
        <v>1</v>
      </c>
      <c r="AJ37" t="n">
        <v>5</v>
      </c>
      <c r="AK37" t="n">
        <v>5</v>
      </c>
      <c r="AL37" t="n">
        <v>3</v>
      </c>
      <c r="AM37" t="n">
        <v>3</v>
      </c>
      <c r="AN37" t="n">
        <v>0</v>
      </c>
      <c r="AO37" t="n">
        <v>0</v>
      </c>
      <c r="AP37" t="inlineStr">
        <is>
          <t>No</t>
        </is>
      </c>
      <c r="AQ37" t="inlineStr">
        <is>
          <t>Yes</t>
        </is>
      </c>
      <c r="AR37">
        <f>HYPERLINK("http://catalog.hathitrust.org/Record/000005545","HathiTrust Record")</f>
        <v/>
      </c>
      <c r="AS37">
        <f>HYPERLINK("https://creighton-primo.hosted.exlibrisgroup.com/primo-explore/search?tab=default_tab&amp;search_scope=EVERYTHING&amp;vid=01CRU&amp;lang=en_US&amp;offset=0&amp;query=any,contains,991002667399702656","Catalog Record")</f>
        <v/>
      </c>
      <c r="AT37">
        <f>HYPERLINK("http://www.worldcat.org/oclc/393993","WorldCat Record")</f>
        <v/>
      </c>
      <c r="AU37" t="inlineStr">
        <is>
          <t>1534335:eng</t>
        </is>
      </c>
      <c r="AV37" t="inlineStr">
        <is>
          <t>393993</t>
        </is>
      </c>
      <c r="AW37" t="inlineStr">
        <is>
          <t>991002667399702656</t>
        </is>
      </c>
      <c r="AX37" t="inlineStr">
        <is>
          <t>991002667399702656</t>
        </is>
      </c>
      <c r="AY37" t="inlineStr">
        <is>
          <t>2261804330002656</t>
        </is>
      </c>
      <c r="AZ37" t="inlineStr">
        <is>
          <t>BOOK</t>
        </is>
      </c>
      <c r="BC37" t="inlineStr">
        <is>
          <t>32285002864154</t>
        </is>
      </c>
      <c r="BD37" t="inlineStr">
        <is>
          <t>893511033</t>
        </is>
      </c>
    </row>
    <row r="38">
      <c r="A38" t="inlineStr">
        <is>
          <t>No</t>
        </is>
      </c>
      <c r="B38" t="inlineStr">
        <is>
          <t>NB1270.P5 R6 1978</t>
        </is>
      </c>
      <c r="C38" t="inlineStr">
        <is>
          <t>0                      NB 1270000P  5                  R  6           1978</t>
        </is>
      </c>
      <c r="D38" t="inlineStr">
        <is>
          <t>Sculpture in plastics / by Nicholas Roukes.</t>
        </is>
      </c>
      <c r="F38" t="inlineStr">
        <is>
          <t>No</t>
        </is>
      </c>
      <c r="G38" t="inlineStr">
        <is>
          <t>1</t>
        </is>
      </c>
      <c r="H38" t="inlineStr">
        <is>
          <t>No</t>
        </is>
      </c>
      <c r="I38" t="inlineStr">
        <is>
          <t>No</t>
        </is>
      </c>
      <c r="J38" t="inlineStr">
        <is>
          <t>0</t>
        </is>
      </c>
      <c r="K38" t="inlineStr">
        <is>
          <t>Roukes, Nicholas.</t>
        </is>
      </c>
      <c r="L38" t="inlineStr">
        <is>
          <t>New York : Watson-Guptill Publications, 1978.</t>
        </is>
      </c>
      <c r="M38" t="inlineStr">
        <is>
          <t>1978</t>
        </is>
      </c>
      <c r="N38" t="inlineStr">
        <is>
          <t>New rev. and enl. ed.</t>
        </is>
      </c>
      <c r="O38" t="inlineStr">
        <is>
          <t>eng</t>
        </is>
      </c>
      <c r="P38" t="inlineStr">
        <is>
          <t>nyu</t>
        </is>
      </c>
      <c r="R38" t="inlineStr">
        <is>
          <t xml:space="preserve">NB </t>
        </is>
      </c>
      <c r="S38" t="n">
        <v>15</v>
      </c>
      <c r="T38" t="n">
        <v>15</v>
      </c>
      <c r="U38" t="inlineStr">
        <is>
          <t>2005-04-26</t>
        </is>
      </c>
      <c r="V38" t="inlineStr">
        <is>
          <t>2005-04-26</t>
        </is>
      </c>
      <c r="W38" t="inlineStr">
        <is>
          <t>1993-05-18</t>
        </is>
      </c>
      <c r="X38" t="inlineStr">
        <is>
          <t>1993-05-18</t>
        </is>
      </c>
      <c r="Y38" t="n">
        <v>366</v>
      </c>
      <c r="Z38" t="n">
        <v>306</v>
      </c>
      <c r="AA38" t="n">
        <v>859</v>
      </c>
      <c r="AB38" t="n">
        <v>5</v>
      </c>
      <c r="AC38" t="n">
        <v>11</v>
      </c>
      <c r="AD38" t="n">
        <v>9</v>
      </c>
      <c r="AE38" t="n">
        <v>25</v>
      </c>
      <c r="AF38" t="n">
        <v>4</v>
      </c>
      <c r="AG38" t="n">
        <v>12</v>
      </c>
      <c r="AH38" t="n">
        <v>0</v>
      </c>
      <c r="AI38" t="n">
        <v>2</v>
      </c>
      <c r="AJ38" t="n">
        <v>3</v>
      </c>
      <c r="AK38" t="n">
        <v>4</v>
      </c>
      <c r="AL38" t="n">
        <v>4</v>
      </c>
      <c r="AM38" t="n">
        <v>9</v>
      </c>
      <c r="AN38" t="n">
        <v>0</v>
      </c>
      <c r="AO38" t="n">
        <v>0</v>
      </c>
      <c r="AP38" t="inlineStr">
        <is>
          <t>No</t>
        </is>
      </c>
      <c r="AQ38" t="inlineStr">
        <is>
          <t>Yes</t>
        </is>
      </c>
      <c r="AR38">
        <f>HYPERLINK("http://catalog.hathitrust.org/Record/000752937","HathiTrust Record")</f>
        <v/>
      </c>
      <c r="AS38">
        <f>HYPERLINK("https://creighton-primo.hosted.exlibrisgroup.com/primo-explore/search?tab=default_tab&amp;search_scope=EVERYTHING&amp;vid=01CRU&amp;lang=en_US&amp;offset=0&amp;query=any,contains,991005371119702656","Catalog Record")</f>
        <v/>
      </c>
      <c r="AT38">
        <f>HYPERLINK("http://www.worldcat.org/oclc/3447499","WorldCat Record")</f>
        <v/>
      </c>
      <c r="AU38" t="inlineStr">
        <is>
          <t>488409:eng</t>
        </is>
      </c>
      <c r="AV38" t="inlineStr">
        <is>
          <t>3447499</t>
        </is>
      </c>
      <c r="AW38" t="inlineStr">
        <is>
          <t>991005371119702656</t>
        </is>
      </c>
      <c r="AX38" t="inlineStr">
        <is>
          <t>991005371119702656</t>
        </is>
      </c>
      <c r="AY38" t="inlineStr">
        <is>
          <t>2268732290002656</t>
        </is>
      </c>
      <c r="AZ38" t="inlineStr">
        <is>
          <t>BOOK</t>
        </is>
      </c>
      <c r="BB38" t="inlineStr">
        <is>
          <t>9780823047017</t>
        </is>
      </c>
      <c r="BC38" t="inlineStr">
        <is>
          <t>32285001659522</t>
        </is>
      </c>
      <c r="BD38" t="inlineStr">
        <is>
          <t>893351174</t>
        </is>
      </c>
    </row>
    <row r="39">
      <c r="A39" t="inlineStr">
        <is>
          <t>No</t>
        </is>
      </c>
      <c r="B39" t="inlineStr">
        <is>
          <t>NB1271 .R43 1974</t>
        </is>
      </c>
      <c r="C39" t="inlineStr">
        <is>
          <t>0                      NB 1271000R  43          1974</t>
        </is>
      </c>
      <c r="D39" t="inlineStr">
        <is>
          <t>Sculpture from found objects / [by] Carl Reed [and] Burt Towne.</t>
        </is>
      </c>
      <c r="F39" t="inlineStr">
        <is>
          <t>No</t>
        </is>
      </c>
      <c r="G39" t="inlineStr">
        <is>
          <t>1</t>
        </is>
      </c>
      <c r="H39" t="inlineStr">
        <is>
          <t>No</t>
        </is>
      </c>
      <c r="I39" t="inlineStr">
        <is>
          <t>No</t>
        </is>
      </c>
      <c r="J39" t="inlineStr">
        <is>
          <t>0</t>
        </is>
      </c>
      <c r="K39" t="inlineStr">
        <is>
          <t>Reed, Carl.</t>
        </is>
      </c>
      <c r="L39" t="inlineStr">
        <is>
          <t>Worcester, Mass. : Davis Publications, [1974]</t>
        </is>
      </c>
      <c r="M39" t="inlineStr">
        <is>
          <t>1974</t>
        </is>
      </c>
      <c r="O39" t="inlineStr">
        <is>
          <t>eng</t>
        </is>
      </c>
      <c r="P39" t="inlineStr">
        <is>
          <t>mau</t>
        </is>
      </c>
      <c r="R39" t="inlineStr">
        <is>
          <t xml:space="preserve">NB </t>
        </is>
      </c>
      <c r="S39" t="n">
        <v>1</v>
      </c>
      <c r="T39" t="n">
        <v>1</v>
      </c>
      <c r="U39" t="inlineStr">
        <is>
          <t>2009-04-14</t>
        </is>
      </c>
      <c r="V39" t="inlineStr">
        <is>
          <t>2009-04-14</t>
        </is>
      </c>
      <c r="W39" t="inlineStr">
        <is>
          <t>2009-04-14</t>
        </is>
      </c>
      <c r="X39" t="inlineStr">
        <is>
          <t>2009-04-14</t>
        </is>
      </c>
      <c r="Y39" t="n">
        <v>311</v>
      </c>
      <c r="Z39" t="n">
        <v>264</v>
      </c>
      <c r="AA39" t="n">
        <v>269</v>
      </c>
      <c r="AB39" t="n">
        <v>5</v>
      </c>
      <c r="AC39" t="n">
        <v>5</v>
      </c>
      <c r="AD39" t="n">
        <v>4</v>
      </c>
      <c r="AE39" t="n">
        <v>4</v>
      </c>
      <c r="AF39" t="n">
        <v>1</v>
      </c>
      <c r="AG39" t="n">
        <v>1</v>
      </c>
      <c r="AH39" t="n">
        <v>1</v>
      </c>
      <c r="AI39" t="n">
        <v>1</v>
      </c>
      <c r="AJ39" t="n">
        <v>0</v>
      </c>
      <c r="AK39" t="n">
        <v>0</v>
      </c>
      <c r="AL39" t="n">
        <v>2</v>
      </c>
      <c r="AM39" t="n">
        <v>2</v>
      </c>
      <c r="AN39" t="n">
        <v>0</v>
      </c>
      <c r="AO39" t="n">
        <v>0</v>
      </c>
      <c r="AP39" t="inlineStr">
        <is>
          <t>No</t>
        </is>
      </c>
      <c r="AQ39" t="inlineStr">
        <is>
          <t>No</t>
        </is>
      </c>
      <c r="AS39">
        <f>HYPERLINK("https://creighton-primo.hosted.exlibrisgroup.com/primo-explore/search?tab=default_tab&amp;search_scope=EVERYTHING&amp;vid=01CRU&amp;lang=en_US&amp;offset=0&amp;query=any,contains,991005305509702656","Catalog Record")</f>
        <v/>
      </c>
      <c r="AT39">
        <f>HYPERLINK("http://www.worldcat.org/oclc/900339","WorldCat Record")</f>
        <v/>
      </c>
      <c r="AU39" t="inlineStr">
        <is>
          <t>1833414:eng</t>
        </is>
      </c>
      <c r="AV39" t="inlineStr">
        <is>
          <t>900339</t>
        </is>
      </c>
      <c r="AW39" t="inlineStr">
        <is>
          <t>991005305509702656</t>
        </is>
      </c>
      <c r="AX39" t="inlineStr">
        <is>
          <t>991005305509702656</t>
        </is>
      </c>
      <c r="AY39" t="inlineStr">
        <is>
          <t>2266398520002656</t>
        </is>
      </c>
      <c r="AZ39" t="inlineStr">
        <is>
          <t>BOOK</t>
        </is>
      </c>
      <c r="BB39" t="inlineStr">
        <is>
          <t>9780871920560</t>
        </is>
      </c>
      <c r="BC39" t="inlineStr">
        <is>
          <t>32285005515399</t>
        </is>
      </c>
      <c r="BD39" t="inlineStr">
        <is>
          <t>893338894</t>
        </is>
      </c>
    </row>
    <row r="40">
      <c r="A40" t="inlineStr">
        <is>
          <t>No</t>
        </is>
      </c>
      <c r="B40" t="inlineStr">
        <is>
          <t>NB1287.F6 G38 1971</t>
        </is>
      </c>
      <c r="C40" t="inlineStr">
        <is>
          <t>0                      NB 1287000F  6                  G  38          1971</t>
        </is>
      </c>
      <c r="D40" t="inlineStr">
        <is>
          <t>Ghiberti's bronze doors / by Richard Krautheimer.</t>
        </is>
      </c>
      <c r="F40" t="inlineStr">
        <is>
          <t>No</t>
        </is>
      </c>
      <c r="G40" t="inlineStr">
        <is>
          <t>1</t>
        </is>
      </c>
      <c r="H40" t="inlineStr">
        <is>
          <t>No</t>
        </is>
      </c>
      <c r="I40" t="inlineStr">
        <is>
          <t>No</t>
        </is>
      </c>
      <c r="J40" t="inlineStr">
        <is>
          <t>0</t>
        </is>
      </c>
      <c r="K40" t="inlineStr">
        <is>
          <t>Ghiberti, Lorenzo, 1378-1455.</t>
        </is>
      </c>
      <c r="L40" t="inlineStr">
        <is>
          <t>Princeton, N.J. : Princeton University Press, 1971.</t>
        </is>
      </c>
      <c r="M40" t="inlineStr">
        <is>
          <t>1971</t>
        </is>
      </c>
      <c r="O40" t="inlineStr">
        <is>
          <t>eng</t>
        </is>
      </c>
      <c r="P40" t="inlineStr">
        <is>
          <t>nju</t>
        </is>
      </c>
      <c r="R40" t="inlineStr">
        <is>
          <t xml:space="preserve">NB </t>
        </is>
      </c>
      <c r="S40" t="n">
        <v>10</v>
      </c>
      <c r="T40" t="n">
        <v>10</v>
      </c>
      <c r="U40" t="inlineStr">
        <is>
          <t>2008-05-05</t>
        </is>
      </c>
      <c r="V40" t="inlineStr">
        <is>
          <t>2008-05-05</t>
        </is>
      </c>
      <c r="W40" t="inlineStr">
        <is>
          <t>1992-03-18</t>
        </is>
      </c>
      <c r="X40" t="inlineStr">
        <is>
          <t>1992-03-18</t>
        </is>
      </c>
      <c r="Y40" t="n">
        <v>785</v>
      </c>
      <c r="Z40" t="n">
        <v>682</v>
      </c>
      <c r="AA40" t="n">
        <v>696</v>
      </c>
      <c r="AB40" t="n">
        <v>6</v>
      </c>
      <c r="AC40" t="n">
        <v>6</v>
      </c>
      <c r="AD40" t="n">
        <v>28</v>
      </c>
      <c r="AE40" t="n">
        <v>29</v>
      </c>
      <c r="AF40" t="n">
        <v>8</v>
      </c>
      <c r="AG40" t="n">
        <v>9</v>
      </c>
      <c r="AH40" t="n">
        <v>8</v>
      </c>
      <c r="AI40" t="n">
        <v>8</v>
      </c>
      <c r="AJ40" t="n">
        <v>13</v>
      </c>
      <c r="AK40" t="n">
        <v>14</v>
      </c>
      <c r="AL40" t="n">
        <v>5</v>
      </c>
      <c r="AM40" t="n">
        <v>5</v>
      </c>
      <c r="AN40" t="n">
        <v>0</v>
      </c>
      <c r="AO40" t="n">
        <v>0</v>
      </c>
      <c r="AP40" t="inlineStr">
        <is>
          <t>No</t>
        </is>
      </c>
      <c r="AQ40" t="inlineStr">
        <is>
          <t>No</t>
        </is>
      </c>
      <c r="AS40">
        <f>HYPERLINK("https://creighton-primo.hosted.exlibrisgroup.com/primo-explore/search?tab=default_tab&amp;search_scope=EVERYTHING&amp;vid=01CRU&amp;lang=en_US&amp;offset=0&amp;query=any,contains,991001248579702656","Catalog Record")</f>
        <v/>
      </c>
      <c r="AT40">
        <f>HYPERLINK("http://www.worldcat.org/oclc/208416","WorldCat Record")</f>
        <v/>
      </c>
      <c r="AU40" t="inlineStr">
        <is>
          <t>375591597:eng</t>
        </is>
      </c>
      <c r="AV40" t="inlineStr">
        <is>
          <t>208416</t>
        </is>
      </c>
      <c r="AW40" t="inlineStr">
        <is>
          <t>991001248579702656</t>
        </is>
      </c>
      <c r="AX40" t="inlineStr">
        <is>
          <t>991001248579702656</t>
        </is>
      </c>
      <c r="AY40" t="inlineStr">
        <is>
          <t>2270095760002656</t>
        </is>
      </c>
      <c r="AZ40" t="inlineStr">
        <is>
          <t>BOOK</t>
        </is>
      </c>
      <c r="BB40" t="inlineStr">
        <is>
          <t>9780691038742</t>
        </is>
      </c>
      <c r="BC40" t="inlineStr">
        <is>
          <t>32285001023596</t>
        </is>
      </c>
      <c r="BD40" t="inlineStr">
        <is>
          <t>893784967</t>
        </is>
      </c>
    </row>
    <row r="41">
      <c r="A41" t="inlineStr">
        <is>
          <t>No</t>
        </is>
      </c>
      <c r="B41" t="inlineStr">
        <is>
          <t>NB1296.2 .A75 1996</t>
        </is>
      </c>
      <c r="C41" t="inlineStr">
        <is>
          <t>0                      NB 1296200A  75          1996</t>
        </is>
      </c>
      <c r="D41" t="inlineStr">
        <is>
          <t>The royal women of Amarna : images of beauty from ancient Egypt / Dorothea Arnold with contributions by James P. Allen and L. Green.</t>
        </is>
      </c>
      <c r="F41" t="inlineStr">
        <is>
          <t>No</t>
        </is>
      </c>
      <c r="G41" t="inlineStr">
        <is>
          <t>1</t>
        </is>
      </c>
      <c r="H41" t="inlineStr">
        <is>
          <t>No</t>
        </is>
      </c>
      <c r="I41" t="inlineStr">
        <is>
          <t>No</t>
        </is>
      </c>
      <c r="J41" t="inlineStr">
        <is>
          <t>0</t>
        </is>
      </c>
      <c r="K41" t="inlineStr">
        <is>
          <t>Arnold, Dorothea.</t>
        </is>
      </c>
      <c r="L41" t="inlineStr">
        <is>
          <t>New York : Metropolitan Museum of Art : Distributed by Harry N. Abrams, c1996.</t>
        </is>
      </c>
      <c r="M41" t="inlineStr">
        <is>
          <t>1996</t>
        </is>
      </c>
      <c r="O41" t="inlineStr">
        <is>
          <t>eng</t>
        </is>
      </c>
      <c r="P41" t="inlineStr">
        <is>
          <t>nyu</t>
        </is>
      </c>
      <c r="R41" t="inlineStr">
        <is>
          <t xml:space="preserve">NB </t>
        </is>
      </c>
      <c r="S41" t="n">
        <v>6</v>
      </c>
      <c r="T41" t="n">
        <v>6</v>
      </c>
      <c r="U41" t="inlineStr">
        <is>
          <t>2000-10-03</t>
        </is>
      </c>
      <c r="V41" t="inlineStr">
        <is>
          <t>2000-10-03</t>
        </is>
      </c>
      <c r="W41" t="inlineStr">
        <is>
          <t>1998-11-23</t>
        </is>
      </c>
      <c r="X41" t="inlineStr">
        <is>
          <t>1998-11-23</t>
        </is>
      </c>
      <c r="Y41" t="n">
        <v>612</v>
      </c>
      <c r="Z41" t="n">
        <v>520</v>
      </c>
      <c r="AA41" t="n">
        <v>567</v>
      </c>
      <c r="AB41" t="n">
        <v>6</v>
      </c>
      <c r="AC41" t="n">
        <v>6</v>
      </c>
      <c r="AD41" t="n">
        <v>26</v>
      </c>
      <c r="AE41" t="n">
        <v>26</v>
      </c>
      <c r="AF41" t="n">
        <v>9</v>
      </c>
      <c r="AG41" t="n">
        <v>9</v>
      </c>
      <c r="AH41" t="n">
        <v>5</v>
      </c>
      <c r="AI41" t="n">
        <v>5</v>
      </c>
      <c r="AJ41" t="n">
        <v>15</v>
      </c>
      <c r="AK41" t="n">
        <v>15</v>
      </c>
      <c r="AL41" t="n">
        <v>5</v>
      </c>
      <c r="AM41" t="n">
        <v>5</v>
      </c>
      <c r="AN41" t="n">
        <v>0</v>
      </c>
      <c r="AO41" t="n">
        <v>0</v>
      </c>
      <c r="AP41" t="inlineStr">
        <is>
          <t>No</t>
        </is>
      </c>
      <c r="AQ41" t="inlineStr">
        <is>
          <t>Yes</t>
        </is>
      </c>
      <c r="AR41">
        <f>HYPERLINK("http://catalog.hathitrust.org/Record/003142199","HathiTrust Record")</f>
        <v/>
      </c>
      <c r="AS41">
        <f>HYPERLINK("https://creighton-primo.hosted.exlibrisgroup.com/primo-explore/search?tab=default_tab&amp;search_scope=EVERYTHING&amp;vid=01CRU&amp;lang=en_US&amp;offset=0&amp;query=any,contains,991002703189702656","Catalog Record")</f>
        <v/>
      </c>
      <c r="AT41">
        <f>HYPERLINK("http://www.worldcat.org/oclc/35292712","WorldCat Record")</f>
        <v/>
      </c>
      <c r="AU41" t="inlineStr">
        <is>
          <t>40918413:eng</t>
        </is>
      </c>
      <c r="AV41" t="inlineStr">
        <is>
          <t>35292712</t>
        </is>
      </c>
      <c r="AW41" t="inlineStr">
        <is>
          <t>991002703189702656</t>
        </is>
      </c>
      <c r="AX41" t="inlineStr">
        <is>
          <t>991002703189702656</t>
        </is>
      </c>
      <c r="AY41" t="inlineStr">
        <is>
          <t>2271427070002656</t>
        </is>
      </c>
      <c r="AZ41" t="inlineStr">
        <is>
          <t>BOOK</t>
        </is>
      </c>
      <c r="BB41" t="inlineStr">
        <is>
          <t>9780810965041</t>
        </is>
      </c>
      <c r="BC41" t="inlineStr">
        <is>
          <t>32285003490959</t>
        </is>
      </c>
      <c r="BD41" t="inlineStr">
        <is>
          <t>893415545</t>
        </is>
      </c>
    </row>
    <row r="42">
      <c r="A42" t="inlineStr">
        <is>
          <t>No</t>
        </is>
      </c>
      <c r="B42" t="inlineStr">
        <is>
          <t>NB130.C78 R4 1991</t>
        </is>
      </c>
      <c r="C42" t="inlineStr">
        <is>
          <t>0                      NB 0130000C  78                 R  4           1991</t>
        </is>
      </c>
      <c r="D42" t="inlineStr">
        <is>
          <t>The Cycladic spirit : masterpieces from the Nicholas P. Goulandris collection / Colin Renfrew ; introduction by Christos Doumas ; photographs by John Bigelow Taylor.</t>
        </is>
      </c>
      <c r="F42" t="inlineStr">
        <is>
          <t>No</t>
        </is>
      </c>
      <c r="G42" t="inlineStr">
        <is>
          <t>1</t>
        </is>
      </c>
      <c r="H42" t="inlineStr">
        <is>
          <t>No</t>
        </is>
      </c>
      <c r="I42" t="inlineStr">
        <is>
          <t>No</t>
        </is>
      </c>
      <c r="J42" t="inlineStr">
        <is>
          <t>0</t>
        </is>
      </c>
      <c r="K42" t="inlineStr">
        <is>
          <t>Renfrew, Colin, 1937-</t>
        </is>
      </c>
      <c r="L42" t="inlineStr">
        <is>
          <t>New York : Harry N. Abrams in association with the Nicholas P. Goulandris Foundation, Museum of Cycladic Art, Athens, 1991.</t>
        </is>
      </c>
      <c r="M42" t="inlineStr">
        <is>
          <t>1991</t>
        </is>
      </c>
      <c r="O42" t="inlineStr">
        <is>
          <t>eng</t>
        </is>
      </c>
      <c r="P42" t="inlineStr">
        <is>
          <t>nyu</t>
        </is>
      </c>
      <c r="R42" t="inlineStr">
        <is>
          <t xml:space="preserve">NB </t>
        </is>
      </c>
      <c r="S42" t="n">
        <v>5</v>
      </c>
      <c r="T42" t="n">
        <v>5</v>
      </c>
      <c r="U42" t="inlineStr">
        <is>
          <t>2001-02-01</t>
        </is>
      </c>
      <c r="V42" t="inlineStr">
        <is>
          <t>2001-02-01</t>
        </is>
      </c>
      <c r="W42" t="inlineStr">
        <is>
          <t>1992-01-07</t>
        </is>
      </c>
      <c r="X42" t="inlineStr">
        <is>
          <t>1992-01-07</t>
        </is>
      </c>
      <c r="Y42" t="n">
        <v>453</v>
      </c>
      <c r="Z42" t="n">
        <v>395</v>
      </c>
      <c r="AA42" t="n">
        <v>403</v>
      </c>
      <c r="AB42" t="n">
        <v>4</v>
      </c>
      <c r="AC42" t="n">
        <v>4</v>
      </c>
      <c r="AD42" t="n">
        <v>18</v>
      </c>
      <c r="AE42" t="n">
        <v>18</v>
      </c>
      <c r="AF42" t="n">
        <v>6</v>
      </c>
      <c r="AG42" t="n">
        <v>6</v>
      </c>
      <c r="AH42" t="n">
        <v>4</v>
      </c>
      <c r="AI42" t="n">
        <v>4</v>
      </c>
      <c r="AJ42" t="n">
        <v>7</v>
      </c>
      <c r="AK42" t="n">
        <v>7</v>
      </c>
      <c r="AL42" t="n">
        <v>3</v>
      </c>
      <c r="AM42" t="n">
        <v>3</v>
      </c>
      <c r="AN42" t="n">
        <v>0</v>
      </c>
      <c r="AO42" t="n">
        <v>0</v>
      </c>
      <c r="AP42" t="inlineStr">
        <is>
          <t>No</t>
        </is>
      </c>
      <c r="AQ42" t="inlineStr">
        <is>
          <t>No</t>
        </is>
      </c>
      <c r="AS42">
        <f>HYPERLINK("https://creighton-primo.hosted.exlibrisgroup.com/primo-explore/search?tab=default_tab&amp;search_scope=EVERYTHING&amp;vid=01CRU&amp;lang=en_US&amp;offset=0&amp;query=any,contains,991001852089702656","Catalog Record")</f>
        <v/>
      </c>
      <c r="AT42">
        <f>HYPERLINK("http://www.worldcat.org/oclc/23252692","WorldCat Record")</f>
        <v/>
      </c>
      <c r="AU42" t="inlineStr">
        <is>
          <t>24698611:eng</t>
        </is>
      </c>
      <c r="AV42" t="inlineStr">
        <is>
          <t>23252692</t>
        </is>
      </c>
      <c r="AW42" t="inlineStr">
        <is>
          <t>991001852089702656</t>
        </is>
      </c>
      <c r="AX42" t="inlineStr">
        <is>
          <t>991001852089702656</t>
        </is>
      </c>
      <c r="AY42" t="inlineStr">
        <is>
          <t>2263022140002656</t>
        </is>
      </c>
      <c r="AZ42" t="inlineStr">
        <is>
          <t>BOOK</t>
        </is>
      </c>
      <c r="BB42" t="inlineStr">
        <is>
          <t>9780810931695</t>
        </is>
      </c>
      <c r="BC42" t="inlineStr">
        <is>
          <t>32285000863489</t>
        </is>
      </c>
      <c r="BD42" t="inlineStr">
        <is>
          <t>893866530</t>
        </is>
      </c>
    </row>
    <row r="43">
      <c r="A43" t="inlineStr">
        <is>
          <t>No</t>
        </is>
      </c>
      <c r="B43" t="inlineStr">
        <is>
          <t>NB133 .C37 1995</t>
        </is>
      </c>
      <c r="C43" t="inlineStr">
        <is>
          <t>0                      NB 0133000C  37          1995</t>
        </is>
      </c>
      <c r="D43" t="inlineStr">
        <is>
          <t>The Ara Pacis Augustae and the imagery of abundance in later Greek and early Roman imperial art / David Castriota.</t>
        </is>
      </c>
      <c r="F43" t="inlineStr">
        <is>
          <t>No</t>
        </is>
      </c>
      <c r="G43" t="inlineStr">
        <is>
          <t>1</t>
        </is>
      </c>
      <c r="H43" t="inlineStr">
        <is>
          <t>No</t>
        </is>
      </c>
      <c r="I43" t="inlineStr">
        <is>
          <t>No</t>
        </is>
      </c>
      <c r="J43" t="inlineStr">
        <is>
          <t>0</t>
        </is>
      </c>
      <c r="K43" t="inlineStr">
        <is>
          <t>Castriota, David, 1950-</t>
        </is>
      </c>
      <c r="L43" t="inlineStr">
        <is>
          <t>Princeton, N.J. : Princeton University Press, c1995.</t>
        </is>
      </c>
      <c r="M43" t="inlineStr">
        <is>
          <t>1995</t>
        </is>
      </c>
      <c r="O43" t="inlineStr">
        <is>
          <t>eng</t>
        </is>
      </c>
      <c r="P43" t="inlineStr">
        <is>
          <t>nju</t>
        </is>
      </c>
      <c r="R43" t="inlineStr">
        <is>
          <t xml:space="preserve">NB </t>
        </is>
      </c>
      <c r="S43" t="n">
        <v>7</v>
      </c>
      <c r="T43" t="n">
        <v>7</v>
      </c>
      <c r="U43" t="inlineStr">
        <is>
          <t>2010-04-19</t>
        </is>
      </c>
      <c r="V43" t="inlineStr">
        <is>
          <t>2010-04-19</t>
        </is>
      </c>
      <c r="W43" t="inlineStr">
        <is>
          <t>1995-11-20</t>
        </is>
      </c>
      <c r="X43" t="inlineStr">
        <is>
          <t>1995-11-20</t>
        </is>
      </c>
      <c r="Y43" t="n">
        <v>457</v>
      </c>
      <c r="Z43" t="n">
        <v>346</v>
      </c>
      <c r="AA43" t="n">
        <v>346</v>
      </c>
      <c r="AB43" t="n">
        <v>3</v>
      </c>
      <c r="AC43" t="n">
        <v>3</v>
      </c>
      <c r="AD43" t="n">
        <v>19</v>
      </c>
      <c r="AE43" t="n">
        <v>19</v>
      </c>
      <c r="AF43" t="n">
        <v>5</v>
      </c>
      <c r="AG43" t="n">
        <v>5</v>
      </c>
      <c r="AH43" t="n">
        <v>7</v>
      </c>
      <c r="AI43" t="n">
        <v>7</v>
      </c>
      <c r="AJ43" t="n">
        <v>11</v>
      </c>
      <c r="AK43" t="n">
        <v>11</v>
      </c>
      <c r="AL43" t="n">
        <v>2</v>
      </c>
      <c r="AM43" t="n">
        <v>2</v>
      </c>
      <c r="AN43" t="n">
        <v>0</v>
      </c>
      <c r="AO43" t="n">
        <v>0</v>
      </c>
      <c r="AP43" t="inlineStr">
        <is>
          <t>No</t>
        </is>
      </c>
      <c r="AQ43" t="inlineStr">
        <is>
          <t>No</t>
        </is>
      </c>
      <c r="AS43">
        <f>HYPERLINK("https://creighton-primo.hosted.exlibrisgroup.com/primo-explore/search?tab=default_tab&amp;search_scope=EVERYTHING&amp;vid=01CRU&amp;lang=en_US&amp;offset=0&amp;query=any,contains,991002413499702656","Catalog Record")</f>
        <v/>
      </c>
      <c r="AT43">
        <f>HYPERLINK("http://www.worldcat.org/oclc/31411663","WorldCat Record")</f>
        <v/>
      </c>
      <c r="AU43" t="inlineStr">
        <is>
          <t>33064894:eng</t>
        </is>
      </c>
      <c r="AV43" t="inlineStr">
        <is>
          <t>31411663</t>
        </is>
      </c>
      <c r="AW43" t="inlineStr">
        <is>
          <t>991002413499702656</t>
        </is>
      </c>
      <c r="AX43" t="inlineStr">
        <is>
          <t>991002413499702656</t>
        </is>
      </c>
      <c r="AY43" t="inlineStr">
        <is>
          <t>2262260160002656</t>
        </is>
      </c>
      <c r="AZ43" t="inlineStr">
        <is>
          <t>BOOK</t>
        </is>
      </c>
      <c r="BB43" t="inlineStr">
        <is>
          <t>9780691037158</t>
        </is>
      </c>
      <c r="BC43" t="inlineStr">
        <is>
          <t>32285002104486</t>
        </is>
      </c>
      <c r="BD43" t="inlineStr">
        <is>
          <t>893517259</t>
        </is>
      </c>
    </row>
    <row r="44">
      <c r="A44" t="inlineStr">
        <is>
          <t>No</t>
        </is>
      </c>
      <c r="B44" t="inlineStr">
        <is>
          <t>NB133 .T57 1982</t>
        </is>
      </c>
      <c r="C44" t="inlineStr">
        <is>
          <t>0                      NB 0133000T  57          1982</t>
        </is>
      </c>
      <c r="D44" t="inlineStr">
        <is>
          <t>Typology &amp; structure of Roman historical reliefs / Mario Torelli.</t>
        </is>
      </c>
      <c r="F44" t="inlineStr">
        <is>
          <t>No</t>
        </is>
      </c>
      <c r="G44" t="inlineStr">
        <is>
          <t>1</t>
        </is>
      </c>
      <c r="H44" t="inlineStr">
        <is>
          <t>No</t>
        </is>
      </c>
      <c r="I44" t="inlineStr">
        <is>
          <t>No</t>
        </is>
      </c>
      <c r="J44" t="inlineStr">
        <is>
          <t>0</t>
        </is>
      </c>
      <c r="K44" t="inlineStr">
        <is>
          <t>Torelli, Mario.</t>
        </is>
      </c>
      <c r="L44" t="inlineStr">
        <is>
          <t>Ann Arbor : University of Michigan Press, c1982.</t>
        </is>
      </c>
      <c r="M44" t="inlineStr">
        <is>
          <t>1982</t>
        </is>
      </c>
      <c r="O44" t="inlineStr">
        <is>
          <t>eng</t>
        </is>
      </c>
      <c r="P44" t="inlineStr">
        <is>
          <t>miu</t>
        </is>
      </c>
      <c r="Q44" t="inlineStr">
        <is>
          <t>Jerome lectures ; 14th ser.</t>
        </is>
      </c>
      <c r="R44" t="inlineStr">
        <is>
          <t xml:space="preserve">NB </t>
        </is>
      </c>
      <c r="S44" t="n">
        <v>4</v>
      </c>
      <c r="T44" t="n">
        <v>4</v>
      </c>
      <c r="U44" t="inlineStr">
        <is>
          <t>1996-05-01</t>
        </is>
      </c>
      <c r="V44" t="inlineStr">
        <is>
          <t>1996-05-01</t>
        </is>
      </c>
      <c r="W44" t="inlineStr">
        <is>
          <t>1993-05-17</t>
        </is>
      </c>
      <c r="X44" t="inlineStr">
        <is>
          <t>1993-05-17</t>
        </is>
      </c>
      <c r="Y44" t="n">
        <v>355</v>
      </c>
      <c r="Z44" t="n">
        <v>252</v>
      </c>
      <c r="AA44" t="n">
        <v>293</v>
      </c>
      <c r="AB44" t="n">
        <v>2</v>
      </c>
      <c r="AC44" t="n">
        <v>2</v>
      </c>
      <c r="AD44" t="n">
        <v>14</v>
      </c>
      <c r="AE44" t="n">
        <v>18</v>
      </c>
      <c r="AF44" t="n">
        <v>6</v>
      </c>
      <c r="AG44" t="n">
        <v>9</v>
      </c>
      <c r="AH44" t="n">
        <v>2</v>
      </c>
      <c r="AI44" t="n">
        <v>2</v>
      </c>
      <c r="AJ44" t="n">
        <v>10</v>
      </c>
      <c r="AK44" t="n">
        <v>12</v>
      </c>
      <c r="AL44" t="n">
        <v>1</v>
      </c>
      <c r="AM44" t="n">
        <v>1</v>
      </c>
      <c r="AN44" t="n">
        <v>0</v>
      </c>
      <c r="AO44" t="n">
        <v>0</v>
      </c>
      <c r="AP44" t="inlineStr">
        <is>
          <t>No</t>
        </is>
      </c>
      <c r="AQ44" t="inlineStr">
        <is>
          <t>Yes</t>
        </is>
      </c>
      <c r="AR44">
        <f>HYPERLINK("http://catalog.hathitrust.org/Record/000106364","HathiTrust Record")</f>
        <v/>
      </c>
      <c r="AS44">
        <f>HYPERLINK("https://creighton-primo.hosted.exlibrisgroup.com/primo-explore/search?tab=default_tab&amp;search_scope=EVERYTHING&amp;vid=01CRU&amp;lang=en_US&amp;offset=0&amp;query=any,contains,991005181819702656","Catalog Record")</f>
        <v/>
      </c>
      <c r="AT44">
        <f>HYPERLINK("http://www.worldcat.org/oclc/7946730","WorldCat Record")</f>
        <v/>
      </c>
      <c r="AU44" t="inlineStr">
        <is>
          <t>491001:eng</t>
        </is>
      </c>
      <c r="AV44" t="inlineStr">
        <is>
          <t>7946730</t>
        </is>
      </c>
      <c r="AW44" t="inlineStr">
        <is>
          <t>991005181819702656</t>
        </is>
      </c>
      <c r="AX44" t="inlineStr">
        <is>
          <t>991005181819702656</t>
        </is>
      </c>
      <c r="AY44" t="inlineStr">
        <is>
          <t>2272431850002656</t>
        </is>
      </c>
      <c r="AZ44" t="inlineStr">
        <is>
          <t>BOOK</t>
        </is>
      </c>
      <c r="BB44" t="inlineStr">
        <is>
          <t>9780472100149</t>
        </is>
      </c>
      <c r="BC44" t="inlineStr">
        <is>
          <t>32285001659043</t>
        </is>
      </c>
      <c r="BD44" t="inlineStr">
        <is>
          <t>893722816</t>
        </is>
      </c>
    </row>
    <row r="45">
      <c r="A45" t="inlineStr">
        <is>
          <t>No</t>
        </is>
      </c>
      <c r="B45" t="inlineStr">
        <is>
          <t>NB133.5.S46 K66 1995</t>
        </is>
      </c>
      <c r="C45" t="inlineStr">
        <is>
          <t>0                      NB 0133500S  46                 K  66          1995</t>
        </is>
      </c>
      <c r="D45" t="inlineStr">
        <is>
          <t>Myth, meaning, and memory on Roman sarcophagi / Michael Koortbojian.</t>
        </is>
      </c>
      <c r="F45" t="inlineStr">
        <is>
          <t>No</t>
        </is>
      </c>
      <c r="G45" t="inlineStr">
        <is>
          <t>1</t>
        </is>
      </c>
      <c r="H45" t="inlineStr">
        <is>
          <t>No</t>
        </is>
      </c>
      <c r="I45" t="inlineStr">
        <is>
          <t>No</t>
        </is>
      </c>
      <c r="J45" t="inlineStr">
        <is>
          <t>0</t>
        </is>
      </c>
      <c r="K45" t="inlineStr">
        <is>
          <t>Koortbojian, Michael.</t>
        </is>
      </c>
      <c r="L45" t="inlineStr">
        <is>
          <t>Berkeley : University of California Press, c1995.</t>
        </is>
      </c>
      <c r="M45" t="inlineStr">
        <is>
          <t>1995</t>
        </is>
      </c>
      <c r="O45" t="inlineStr">
        <is>
          <t>eng</t>
        </is>
      </c>
      <c r="P45" t="inlineStr">
        <is>
          <t>cau</t>
        </is>
      </c>
      <c r="R45" t="inlineStr">
        <is>
          <t xml:space="preserve">NB </t>
        </is>
      </c>
      <c r="S45" t="n">
        <v>4</v>
      </c>
      <c r="T45" t="n">
        <v>4</v>
      </c>
      <c r="U45" t="inlineStr">
        <is>
          <t>2005-10-10</t>
        </is>
      </c>
      <c r="V45" t="inlineStr">
        <is>
          <t>2005-10-10</t>
        </is>
      </c>
      <c r="W45" t="inlineStr">
        <is>
          <t>1996-05-22</t>
        </is>
      </c>
      <c r="X45" t="inlineStr">
        <is>
          <t>1996-05-22</t>
        </is>
      </c>
      <c r="Y45" t="n">
        <v>490</v>
      </c>
      <c r="Z45" t="n">
        <v>381</v>
      </c>
      <c r="AA45" t="n">
        <v>821</v>
      </c>
      <c r="AB45" t="n">
        <v>3</v>
      </c>
      <c r="AC45" t="n">
        <v>4</v>
      </c>
      <c r="AD45" t="n">
        <v>26</v>
      </c>
      <c r="AE45" t="n">
        <v>32</v>
      </c>
      <c r="AF45" t="n">
        <v>11</v>
      </c>
      <c r="AG45" t="n">
        <v>15</v>
      </c>
      <c r="AH45" t="n">
        <v>6</v>
      </c>
      <c r="AI45" t="n">
        <v>7</v>
      </c>
      <c r="AJ45" t="n">
        <v>13</v>
      </c>
      <c r="AK45" t="n">
        <v>15</v>
      </c>
      <c r="AL45" t="n">
        <v>2</v>
      </c>
      <c r="AM45" t="n">
        <v>3</v>
      </c>
      <c r="AN45" t="n">
        <v>0</v>
      </c>
      <c r="AO45" t="n">
        <v>0</v>
      </c>
      <c r="AP45" t="inlineStr">
        <is>
          <t>No</t>
        </is>
      </c>
      <c r="AQ45" t="inlineStr">
        <is>
          <t>No</t>
        </is>
      </c>
      <c r="AS45">
        <f>HYPERLINK("https://creighton-primo.hosted.exlibrisgroup.com/primo-explore/search?tab=default_tab&amp;search_scope=EVERYTHING&amp;vid=01CRU&amp;lang=en_US&amp;offset=0&amp;query=any,contains,991002401199702656","Catalog Record")</f>
        <v/>
      </c>
      <c r="AT45">
        <f>HYPERLINK("http://www.worldcat.org/oclc/31207171","WorldCat Record")</f>
        <v/>
      </c>
      <c r="AU45" t="inlineStr">
        <is>
          <t>1022986:eng</t>
        </is>
      </c>
      <c r="AV45" t="inlineStr">
        <is>
          <t>31207171</t>
        </is>
      </c>
      <c r="AW45" t="inlineStr">
        <is>
          <t>991002401199702656</t>
        </is>
      </c>
      <c r="AX45" t="inlineStr">
        <is>
          <t>991002401199702656</t>
        </is>
      </c>
      <c r="AY45" t="inlineStr">
        <is>
          <t>2257382310002656</t>
        </is>
      </c>
      <c r="AZ45" t="inlineStr">
        <is>
          <t>BOOK</t>
        </is>
      </c>
      <c r="BB45" t="inlineStr">
        <is>
          <t>9780520085183</t>
        </is>
      </c>
      <c r="BC45" t="inlineStr">
        <is>
          <t>32285002177177</t>
        </is>
      </c>
      <c r="BD45" t="inlineStr">
        <is>
          <t>893415155</t>
        </is>
      </c>
    </row>
    <row r="46">
      <c r="A46" t="inlineStr">
        <is>
          <t>No</t>
        </is>
      </c>
      <c r="B46" t="inlineStr">
        <is>
          <t>NB135 .M38 1996</t>
        </is>
      </c>
      <c r="C46" t="inlineStr">
        <is>
          <t>0                      NB 0135000M  38          1996</t>
        </is>
      </c>
      <c r="D46" t="inlineStr">
        <is>
          <t>Classical bronzes : the art and craft of Greek and Roman statuary / Carol C. Mattusch.</t>
        </is>
      </c>
      <c r="F46" t="inlineStr">
        <is>
          <t>No</t>
        </is>
      </c>
      <c r="G46" t="inlineStr">
        <is>
          <t>1</t>
        </is>
      </c>
      <c r="H46" t="inlineStr">
        <is>
          <t>No</t>
        </is>
      </c>
      <c r="I46" t="inlineStr">
        <is>
          <t>No</t>
        </is>
      </c>
      <c r="J46" t="inlineStr">
        <is>
          <t>0</t>
        </is>
      </c>
      <c r="K46" t="inlineStr">
        <is>
          <t>Mattusch, Carol C.</t>
        </is>
      </c>
      <c r="L46" t="inlineStr">
        <is>
          <t>Ithaca : Cornell University Press, 1996.</t>
        </is>
      </c>
      <c r="M46" t="inlineStr">
        <is>
          <t>1996</t>
        </is>
      </c>
      <c r="O46" t="inlineStr">
        <is>
          <t>eng</t>
        </is>
      </c>
      <c r="P46" t="inlineStr">
        <is>
          <t>nyu</t>
        </is>
      </c>
      <c r="R46" t="inlineStr">
        <is>
          <t xml:space="preserve">NB </t>
        </is>
      </c>
      <c r="S46" t="n">
        <v>11</v>
      </c>
      <c r="T46" t="n">
        <v>11</v>
      </c>
      <c r="U46" t="inlineStr">
        <is>
          <t>2009-11-11</t>
        </is>
      </c>
      <c r="V46" t="inlineStr">
        <is>
          <t>2009-11-11</t>
        </is>
      </c>
      <c r="W46" t="inlineStr">
        <is>
          <t>1996-06-17</t>
        </is>
      </c>
      <c r="X46" t="inlineStr">
        <is>
          <t>1996-06-17</t>
        </is>
      </c>
      <c r="Y46" t="n">
        <v>757</v>
      </c>
      <c r="Z46" t="n">
        <v>649</v>
      </c>
      <c r="AA46" t="n">
        <v>796</v>
      </c>
      <c r="AB46" t="n">
        <v>4</v>
      </c>
      <c r="AC46" t="n">
        <v>4</v>
      </c>
      <c r="AD46" t="n">
        <v>36</v>
      </c>
      <c r="AE46" t="n">
        <v>41</v>
      </c>
      <c r="AF46" t="n">
        <v>18</v>
      </c>
      <c r="AG46" t="n">
        <v>22</v>
      </c>
      <c r="AH46" t="n">
        <v>9</v>
      </c>
      <c r="AI46" t="n">
        <v>10</v>
      </c>
      <c r="AJ46" t="n">
        <v>16</v>
      </c>
      <c r="AK46" t="n">
        <v>18</v>
      </c>
      <c r="AL46" t="n">
        <v>3</v>
      </c>
      <c r="AM46" t="n">
        <v>3</v>
      </c>
      <c r="AN46" t="n">
        <v>0</v>
      </c>
      <c r="AO46" t="n">
        <v>0</v>
      </c>
      <c r="AP46" t="inlineStr">
        <is>
          <t>No</t>
        </is>
      </c>
      <c r="AQ46" t="inlineStr">
        <is>
          <t>No</t>
        </is>
      </c>
      <c r="AS46">
        <f>HYPERLINK("https://creighton-primo.hosted.exlibrisgroup.com/primo-explore/search?tab=default_tab&amp;search_scope=EVERYTHING&amp;vid=01CRU&amp;lang=en_US&amp;offset=0&amp;query=any,contains,991002536589702656","Catalog Record")</f>
        <v/>
      </c>
      <c r="AT46">
        <f>HYPERLINK("http://www.worldcat.org/oclc/32969418","WorldCat Record")</f>
        <v/>
      </c>
      <c r="AU46" t="inlineStr">
        <is>
          <t>197594932:eng</t>
        </is>
      </c>
      <c r="AV46" t="inlineStr">
        <is>
          <t>32969418</t>
        </is>
      </c>
      <c r="AW46" t="inlineStr">
        <is>
          <t>991002536589702656</t>
        </is>
      </c>
      <c r="AX46" t="inlineStr">
        <is>
          <t>991002536589702656</t>
        </is>
      </c>
      <c r="AY46" t="inlineStr">
        <is>
          <t>2265792820002656</t>
        </is>
      </c>
      <c r="AZ46" t="inlineStr">
        <is>
          <t>BOOK</t>
        </is>
      </c>
      <c r="BB46" t="inlineStr">
        <is>
          <t>9780801431821</t>
        </is>
      </c>
      <c r="BC46" t="inlineStr">
        <is>
          <t>32285002193299</t>
        </is>
      </c>
      <c r="BD46" t="inlineStr">
        <is>
          <t>893627184</t>
        </is>
      </c>
    </row>
    <row r="47">
      <c r="A47" t="inlineStr">
        <is>
          <t>No</t>
        </is>
      </c>
      <c r="B47" t="inlineStr">
        <is>
          <t>NB140 .F7 1982</t>
        </is>
      </c>
      <c r="C47" t="inlineStr">
        <is>
          <t>0                      NB 0140000F  7           1982</t>
        </is>
      </c>
      <c r="D47" t="inlineStr">
        <is>
          <t>The Getty bronze / Jiří Frel.</t>
        </is>
      </c>
      <c r="F47" t="inlineStr">
        <is>
          <t>No</t>
        </is>
      </c>
      <c r="G47" t="inlineStr">
        <is>
          <t>1</t>
        </is>
      </c>
      <c r="H47" t="inlineStr">
        <is>
          <t>No</t>
        </is>
      </c>
      <c r="I47" t="inlineStr">
        <is>
          <t>No</t>
        </is>
      </c>
      <c r="J47" t="inlineStr">
        <is>
          <t>0</t>
        </is>
      </c>
      <c r="K47" t="inlineStr">
        <is>
          <t>Frel, Jiří.</t>
        </is>
      </c>
      <c r="L47" t="inlineStr">
        <is>
          <t>Malibu, Calif. : J. Paul Getty Museum, c1982.</t>
        </is>
      </c>
      <c r="M47" t="inlineStr">
        <is>
          <t>1982</t>
        </is>
      </c>
      <c r="N47" t="inlineStr">
        <is>
          <t>Rev. ed.</t>
        </is>
      </c>
      <c r="O47" t="inlineStr">
        <is>
          <t>eng</t>
        </is>
      </c>
      <c r="P47" t="inlineStr">
        <is>
          <t>cau</t>
        </is>
      </c>
      <c r="R47" t="inlineStr">
        <is>
          <t xml:space="preserve">NB </t>
        </is>
      </c>
      <c r="S47" t="n">
        <v>2</v>
      </c>
      <c r="T47" t="n">
        <v>2</v>
      </c>
      <c r="U47" t="inlineStr">
        <is>
          <t>1998-01-21</t>
        </is>
      </c>
      <c r="V47" t="inlineStr">
        <is>
          <t>1998-01-21</t>
        </is>
      </c>
      <c r="W47" t="inlineStr">
        <is>
          <t>1993-05-17</t>
        </is>
      </c>
      <c r="X47" t="inlineStr">
        <is>
          <t>1993-05-17</t>
        </is>
      </c>
      <c r="Y47" t="n">
        <v>286</v>
      </c>
      <c r="Z47" t="n">
        <v>228</v>
      </c>
      <c r="AA47" t="n">
        <v>278</v>
      </c>
      <c r="AB47" t="n">
        <v>4</v>
      </c>
      <c r="AC47" t="n">
        <v>4</v>
      </c>
      <c r="AD47" t="n">
        <v>17</v>
      </c>
      <c r="AE47" t="n">
        <v>18</v>
      </c>
      <c r="AF47" t="n">
        <v>6</v>
      </c>
      <c r="AG47" t="n">
        <v>6</v>
      </c>
      <c r="AH47" t="n">
        <v>5</v>
      </c>
      <c r="AI47" t="n">
        <v>6</v>
      </c>
      <c r="AJ47" t="n">
        <v>7</v>
      </c>
      <c r="AK47" t="n">
        <v>7</v>
      </c>
      <c r="AL47" t="n">
        <v>3</v>
      </c>
      <c r="AM47" t="n">
        <v>3</v>
      </c>
      <c r="AN47" t="n">
        <v>0</v>
      </c>
      <c r="AO47" t="n">
        <v>0</v>
      </c>
      <c r="AP47" t="inlineStr">
        <is>
          <t>No</t>
        </is>
      </c>
      <c r="AQ47" t="inlineStr">
        <is>
          <t>Yes</t>
        </is>
      </c>
      <c r="AR47">
        <f>HYPERLINK("http://catalog.hathitrust.org/Record/000273554","HathiTrust Record")</f>
        <v/>
      </c>
      <c r="AS47">
        <f>HYPERLINK("https://creighton-primo.hosted.exlibrisgroup.com/primo-explore/search?tab=default_tab&amp;search_scope=EVERYTHING&amp;vid=01CRU&amp;lang=en_US&amp;offset=0&amp;query=any,contains,991005251919702656","Catalog Record")</f>
        <v/>
      </c>
      <c r="AT47">
        <f>HYPERLINK("http://www.worldcat.org/oclc/8494676","WorldCat Record")</f>
        <v/>
      </c>
      <c r="AU47" t="inlineStr">
        <is>
          <t>2048687025:eng</t>
        </is>
      </c>
      <c r="AV47" t="inlineStr">
        <is>
          <t>8494676</t>
        </is>
      </c>
      <c r="AW47" t="inlineStr">
        <is>
          <t>991005251919702656</t>
        </is>
      </c>
      <c r="AX47" t="inlineStr">
        <is>
          <t>991005251919702656</t>
        </is>
      </c>
      <c r="AY47" t="inlineStr">
        <is>
          <t>2259993220002656</t>
        </is>
      </c>
      <c r="AZ47" t="inlineStr">
        <is>
          <t>BOOK</t>
        </is>
      </c>
      <c r="BB47" t="inlineStr">
        <is>
          <t>9780892360390</t>
        </is>
      </c>
      <c r="BC47" t="inlineStr">
        <is>
          <t>32285001659068</t>
        </is>
      </c>
      <c r="BD47" t="inlineStr">
        <is>
          <t>893501585</t>
        </is>
      </c>
    </row>
    <row r="48">
      <c r="A48" t="inlineStr">
        <is>
          <t>No</t>
        </is>
      </c>
      <c r="B48" t="inlineStr">
        <is>
          <t>NB165.L58 B37 1999</t>
        </is>
      </c>
      <c r="C48" t="inlineStr">
        <is>
          <t>0                      NB 0165000L  58                 B  37          1999</t>
        </is>
      </c>
      <c r="D48" t="inlineStr">
        <is>
          <t>Portraits of Livia : imaging the imperial woman in Augustan Rome / Elizabeth Bartman.</t>
        </is>
      </c>
      <c r="F48" t="inlineStr">
        <is>
          <t>No</t>
        </is>
      </c>
      <c r="G48" t="inlineStr">
        <is>
          <t>1</t>
        </is>
      </c>
      <c r="H48" t="inlineStr">
        <is>
          <t>No</t>
        </is>
      </c>
      <c r="I48" t="inlineStr">
        <is>
          <t>No</t>
        </is>
      </c>
      <c r="J48" t="inlineStr">
        <is>
          <t>0</t>
        </is>
      </c>
      <c r="K48" t="inlineStr">
        <is>
          <t>Bartman, Elizabeth.</t>
        </is>
      </c>
      <c r="L48" t="inlineStr">
        <is>
          <t>Cambridge, U.K. ; New York, NY, USA : Cambridge University Press, 1999.</t>
        </is>
      </c>
      <c r="M48" t="inlineStr">
        <is>
          <t>1999</t>
        </is>
      </c>
      <c r="O48" t="inlineStr">
        <is>
          <t>eng</t>
        </is>
      </c>
      <c r="P48" t="inlineStr">
        <is>
          <t>enk</t>
        </is>
      </c>
      <c r="R48" t="inlineStr">
        <is>
          <t xml:space="preserve">NB </t>
        </is>
      </c>
      <c r="S48" t="n">
        <v>1</v>
      </c>
      <c r="T48" t="n">
        <v>1</v>
      </c>
      <c r="U48" t="inlineStr">
        <is>
          <t>2000-09-13</t>
        </is>
      </c>
      <c r="V48" t="inlineStr">
        <is>
          <t>2000-09-13</t>
        </is>
      </c>
      <c r="W48" t="inlineStr">
        <is>
          <t>2000-09-13</t>
        </is>
      </c>
      <c r="X48" t="inlineStr">
        <is>
          <t>2000-09-13</t>
        </is>
      </c>
      <c r="Y48" t="n">
        <v>408</v>
      </c>
      <c r="Z48" t="n">
        <v>302</v>
      </c>
      <c r="AA48" t="n">
        <v>303</v>
      </c>
      <c r="AB48" t="n">
        <v>3</v>
      </c>
      <c r="AC48" t="n">
        <v>3</v>
      </c>
      <c r="AD48" t="n">
        <v>20</v>
      </c>
      <c r="AE48" t="n">
        <v>20</v>
      </c>
      <c r="AF48" t="n">
        <v>8</v>
      </c>
      <c r="AG48" t="n">
        <v>8</v>
      </c>
      <c r="AH48" t="n">
        <v>6</v>
      </c>
      <c r="AI48" t="n">
        <v>6</v>
      </c>
      <c r="AJ48" t="n">
        <v>11</v>
      </c>
      <c r="AK48" t="n">
        <v>11</v>
      </c>
      <c r="AL48" t="n">
        <v>2</v>
      </c>
      <c r="AM48" t="n">
        <v>2</v>
      </c>
      <c r="AN48" t="n">
        <v>0</v>
      </c>
      <c r="AO48" t="n">
        <v>0</v>
      </c>
      <c r="AP48" t="inlineStr">
        <is>
          <t>No</t>
        </is>
      </c>
      <c r="AQ48" t="inlineStr">
        <is>
          <t>No</t>
        </is>
      </c>
      <c r="AS48">
        <f>HYPERLINK("https://creighton-primo.hosted.exlibrisgroup.com/primo-explore/search?tab=default_tab&amp;search_scope=EVERYTHING&amp;vid=01CRU&amp;lang=en_US&amp;offset=0&amp;query=any,contains,991003218589702656","Catalog Record")</f>
        <v/>
      </c>
      <c r="AT48">
        <f>HYPERLINK("http://www.worldcat.org/oclc/38055843","WorldCat Record")</f>
        <v/>
      </c>
      <c r="AU48" t="inlineStr">
        <is>
          <t>202150121:eng</t>
        </is>
      </c>
      <c r="AV48" t="inlineStr">
        <is>
          <t>38055843</t>
        </is>
      </c>
      <c r="AW48" t="inlineStr">
        <is>
          <t>991003218589702656</t>
        </is>
      </c>
      <c r="AX48" t="inlineStr">
        <is>
          <t>991003218589702656</t>
        </is>
      </c>
      <c r="AY48" t="inlineStr">
        <is>
          <t>2264077170002656</t>
        </is>
      </c>
      <c r="AZ48" t="inlineStr">
        <is>
          <t>BOOK</t>
        </is>
      </c>
      <c r="BB48" t="inlineStr">
        <is>
          <t>9780521583947</t>
        </is>
      </c>
      <c r="BC48" t="inlineStr">
        <is>
          <t>32285003761797</t>
        </is>
      </c>
      <c r="BD48" t="inlineStr">
        <is>
          <t>893518256</t>
        </is>
      </c>
    </row>
    <row r="49">
      <c r="A49" t="inlineStr">
        <is>
          <t>No</t>
        </is>
      </c>
      <c r="B49" t="inlineStr">
        <is>
          <t>NB170 .D813 1990</t>
        </is>
      </c>
      <c r="C49" t="inlineStr">
        <is>
          <t>0                      NB 0170000D  813         1990</t>
        </is>
      </c>
      <c r="D49" t="inlineStr">
        <is>
          <t>Sculpture : the great art of the Middle Ages from the fifth to the fifteenth century / by Georges Duby, Xavier Barral i Altet, Sophie Guillot de Suduiraut.</t>
        </is>
      </c>
      <c r="F49" t="inlineStr">
        <is>
          <t>No</t>
        </is>
      </c>
      <c r="G49" t="inlineStr">
        <is>
          <t>1</t>
        </is>
      </c>
      <c r="H49" t="inlineStr">
        <is>
          <t>No</t>
        </is>
      </c>
      <c r="I49" t="inlineStr">
        <is>
          <t>No</t>
        </is>
      </c>
      <c r="J49" t="inlineStr">
        <is>
          <t>0</t>
        </is>
      </c>
      <c r="K49" t="inlineStr">
        <is>
          <t>Duby, Georges.</t>
        </is>
      </c>
      <c r="L49" t="inlineStr">
        <is>
          <t>New York : Skira/Rizzoli, 1990.</t>
        </is>
      </c>
      <c r="M49" t="inlineStr">
        <is>
          <t>1990</t>
        </is>
      </c>
      <c r="O49" t="inlineStr">
        <is>
          <t>eng</t>
        </is>
      </c>
      <c r="P49" t="inlineStr">
        <is>
          <t>nyu</t>
        </is>
      </c>
      <c r="R49" t="inlineStr">
        <is>
          <t xml:space="preserve">NB </t>
        </is>
      </c>
      <c r="S49" t="n">
        <v>6</v>
      </c>
      <c r="T49" t="n">
        <v>6</v>
      </c>
      <c r="U49" t="inlineStr">
        <is>
          <t>1992-01-16</t>
        </is>
      </c>
      <c r="V49" t="inlineStr">
        <is>
          <t>1992-01-16</t>
        </is>
      </c>
      <c r="W49" t="inlineStr">
        <is>
          <t>1991-12-19</t>
        </is>
      </c>
      <c r="X49" t="inlineStr">
        <is>
          <t>1991-12-19</t>
        </is>
      </c>
      <c r="Y49" t="n">
        <v>589</v>
      </c>
      <c r="Z49" t="n">
        <v>504</v>
      </c>
      <c r="AA49" t="n">
        <v>529</v>
      </c>
      <c r="AB49" t="n">
        <v>4</v>
      </c>
      <c r="AC49" t="n">
        <v>4</v>
      </c>
      <c r="AD49" t="n">
        <v>24</v>
      </c>
      <c r="AE49" t="n">
        <v>26</v>
      </c>
      <c r="AF49" t="n">
        <v>9</v>
      </c>
      <c r="AG49" t="n">
        <v>11</v>
      </c>
      <c r="AH49" t="n">
        <v>6</v>
      </c>
      <c r="AI49" t="n">
        <v>6</v>
      </c>
      <c r="AJ49" t="n">
        <v>13</v>
      </c>
      <c r="AK49" t="n">
        <v>13</v>
      </c>
      <c r="AL49" t="n">
        <v>3</v>
      </c>
      <c r="AM49" t="n">
        <v>3</v>
      </c>
      <c r="AN49" t="n">
        <v>0</v>
      </c>
      <c r="AO49" t="n">
        <v>0</v>
      </c>
      <c r="AP49" t="inlineStr">
        <is>
          <t>No</t>
        </is>
      </c>
      <c r="AQ49" t="inlineStr">
        <is>
          <t>Yes</t>
        </is>
      </c>
      <c r="AR49">
        <f>HYPERLINK("http://catalog.hathitrust.org/Record/004511415","HathiTrust Record")</f>
        <v/>
      </c>
      <c r="AS49">
        <f>HYPERLINK("https://creighton-primo.hosted.exlibrisgroup.com/primo-explore/search?tab=default_tab&amp;search_scope=EVERYTHING&amp;vid=01CRU&amp;lang=en_US&amp;offset=0&amp;query=any,contains,991001733109702656","Catalog Record")</f>
        <v/>
      </c>
      <c r="AT49">
        <f>HYPERLINK("http://www.worldcat.org/oclc/21949484","WorldCat Record")</f>
        <v/>
      </c>
      <c r="AU49" t="inlineStr">
        <is>
          <t>3856409085:eng</t>
        </is>
      </c>
      <c r="AV49" t="inlineStr">
        <is>
          <t>21949484</t>
        </is>
      </c>
      <c r="AW49" t="inlineStr">
        <is>
          <t>991001733109702656</t>
        </is>
      </c>
      <c r="AX49" t="inlineStr">
        <is>
          <t>991001733109702656</t>
        </is>
      </c>
      <c r="AY49" t="inlineStr">
        <is>
          <t>2258544690002656</t>
        </is>
      </c>
      <c r="AZ49" t="inlineStr">
        <is>
          <t>BOOK</t>
        </is>
      </c>
      <c r="BB49" t="inlineStr">
        <is>
          <t>9780847812851</t>
        </is>
      </c>
      <c r="BC49" t="inlineStr">
        <is>
          <t>32285000861822</t>
        </is>
      </c>
      <c r="BD49" t="inlineStr">
        <is>
          <t>893791658</t>
        </is>
      </c>
    </row>
    <row r="50">
      <c r="A50" t="inlineStr">
        <is>
          <t>No</t>
        </is>
      </c>
      <c r="B50" t="inlineStr">
        <is>
          <t>NB175 .H39</t>
        </is>
      </c>
      <c r="C50" t="inlineStr">
        <is>
          <t>0                      NB 0175000H  39</t>
        </is>
      </c>
      <c r="D50" t="inlineStr">
        <is>
          <t>Romanesque sculpture : the revival of monumental stone sculpture in the eleventh and twelfth centuries / M. F. Hearn.</t>
        </is>
      </c>
      <c r="F50" t="inlineStr">
        <is>
          <t>No</t>
        </is>
      </c>
      <c r="G50" t="inlineStr">
        <is>
          <t>1</t>
        </is>
      </c>
      <c r="H50" t="inlineStr">
        <is>
          <t>No</t>
        </is>
      </c>
      <c r="I50" t="inlineStr">
        <is>
          <t>No</t>
        </is>
      </c>
      <c r="J50" t="inlineStr">
        <is>
          <t>0</t>
        </is>
      </c>
      <c r="K50" t="inlineStr">
        <is>
          <t>Hearn, M. F. (Millard Fillmore), 1938-</t>
        </is>
      </c>
      <c r="L50" t="inlineStr">
        <is>
          <t>Ithaca, N.Y. : Cornell University Press, 1981.</t>
        </is>
      </c>
      <c r="M50" t="inlineStr">
        <is>
          <t>1981</t>
        </is>
      </c>
      <c r="O50" t="inlineStr">
        <is>
          <t>eng</t>
        </is>
      </c>
      <c r="P50" t="inlineStr">
        <is>
          <t>nyu</t>
        </is>
      </c>
      <c r="R50" t="inlineStr">
        <is>
          <t xml:space="preserve">NB </t>
        </is>
      </c>
      <c r="S50" t="n">
        <v>13</v>
      </c>
      <c r="T50" t="n">
        <v>13</v>
      </c>
      <c r="U50" t="inlineStr">
        <is>
          <t>1999-03-15</t>
        </is>
      </c>
      <c r="V50" t="inlineStr">
        <is>
          <t>1999-03-15</t>
        </is>
      </c>
      <c r="W50" t="inlineStr">
        <is>
          <t>1993-05-18</t>
        </is>
      </c>
      <c r="X50" t="inlineStr">
        <is>
          <t>1993-05-18</t>
        </is>
      </c>
      <c r="Y50" t="n">
        <v>717</v>
      </c>
      <c r="Z50" t="n">
        <v>642</v>
      </c>
      <c r="AA50" t="n">
        <v>673</v>
      </c>
      <c r="AB50" t="n">
        <v>6</v>
      </c>
      <c r="AC50" t="n">
        <v>6</v>
      </c>
      <c r="AD50" t="n">
        <v>33</v>
      </c>
      <c r="AE50" t="n">
        <v>34</v>
      </c>
      <c r="AF50" t="n">
        <v>15</v>
      </c>
      <c r="AG50" t="n">
        <v>16</v>
      </c>
      <c r="AH50" t="n">
        <v>7</v>
      </c>
      <c r="AI50" t="n">
        <v>7</v>
      </c>
      <c r="AJ50" t="n">
        <v>15</v>
      </c>
      <c r="AK50" t="n">
        <v>16</v>
      </c>
      <c r="AL50" t="n">
        <v>4</v>
      </c>
      <c r="AM50" t="n">
        <v>4</v>
      </c>
      <c r="AN50" t="n">
        <v>0</v>
      </c>
      <c r="AO50" t="n">
        <v>0</v>
      </c>
      <c r="AP50" t="inlineStr">
        <is>
          <t>No</t>
        </is>
      </c>
      <c r="AQ50" t="inlineStr">
        <is>
          <t>Yes</t>
        </is>
      </c>
      <c r="AR50">
        <f>HYPERLINK("http://catalog.hathitrust.org/Record/000745028","HathiTrust Record")</f>
        <v/>
      </c>
      <c r="AS50">
        <f>HYPERLINK("https://creighton-primo.hosted.exlibrisgroup.com/primo-explore/search?tab=default_tab&amp;search_scope=EVERYTHING&amp;vid=01CRU&amp;lang=en_US&amp;offset=0&amp;query=any,contains,991004951819702656","Catalog Record")</f>
        <v/>
      </c>
      <c r="AT50">
        <f>HYPERLINK("http://www.worldcat.org/oclc/6250791","WorldCat Record")</f>
        <v/>
      </c>
      <c r="AU50" t="inlineStr">
        <is>
          <t>1073168981:eng</t>
        </is>
      </c>
      <c r="AV50" t="inlineStr">
        <is>
          <t>6250791</t>
        </is>
      </c>
      <c r="AW50" t="inlineStr">
        <is>
          <t>991004951819702656</t>
        </is>
      </c>
      <c r="AX50" t="inlineStr">
        <is>
          <t>991004951819702656</t>
        </is>
      </c>
      <c r="AY50" t="inlineStr">
        <is>
          <t>2264876800002656</t>
        </is>
      </c>
      <c r="AZ50" t="inlineStr">
        <is>
          <t>BOOK</t>
        </is>
      </c>
      <c r="BB50" t="inlineStr">
        <is>
          <t>9780801412875</t>
        </is>
      </c>
      <c r="BC50" t="inlineStr">
        <is>
          <t>32285001659175</t>
        </is>
      </c>
      <c r="BD50" t="inlineStr">
        <is>
          <t>893901930</t>
        </is>
      </c>
    </row>
    <row r="51">
      <c r="A51" t="inlineStr">
        <is>
          <t>No</t>
        </is>
      </c>
      <c r="B51" t="inlineStr">
        <is>
          <t>NB180 .F7</t>
        </is>
      </c>
      <c r="C51" t="inlineStr">
        <is>
          <t>0                      NB 0180000F  7</t>
        </is>
      </c>
      <c r="D51" t="inlineStr">
        <is>
          <t>Gothic sculpture : the intimate carvings / photographed by F.L. Kenett.</t>
        </is>
      </c>
      <c r="F51" t="inlineStr">
        <is>
          <t>No</t>
        </is>
      </c>
      <c r="G51" t="inlineStr">
        <is>
          <t>1</t>
        </is>
      </c>
      <c r="H51" t="inlineStr">
        <is>
          <t>No</t>
        </is>
      </c>
      <c r="I51" t="inlineStr">
        <is>
          <t>No</t>
        </is>
      </c>
      <c r="J51" t="inlineStr">
        <is>
          <t>0</t>
        </is>
      </c>
      <c r="K51" t="inlineStr">
        <is>
          <t>Freeden, Max H. von, 1913-2001.</t>
        </is>
      </c>
      <c r="L51" t="inlineStr">
        <is>
          <t>Greenwich, Conn. : New York Graphic Society, [1962]</t>
        </is>
      </c>
      <c r="M51" t="inlineStr">
        <is>
          <t>1962</t>
        </is>
      </c>
      <c r="O51" t="inlineStr">
        <is>
          <t>eng</t>
        </is>
      </c>
      <c r="P51" t="inlineStr">
        <is>
          <t>ctu</t>
        </is>
      </c>
      <c r="Q51" t="inlineStr">
        <is>
          <t>The Acanthus history of sculpture</t>
        </is>
      </c>
      <c r="R51" t="inlineStr">
        <is>
          <t xml:space="preserve">NB </t>
        </is>
      </c>
      <c r="S51" t="n">
        <v>1</v>
      </c>
      <c r="T51" t="n">
        <v>1</v>
      </c>
      <c r="U51" t="inlineStr">
        <is>
          <t>1992-04-02</t>
        </is>
      </c>
      <c r="V51" t="inlineStr">
        <is>
          <t>1992-04-02</t>
        </is>
      </c>
      <c r="W51" t="inlineStr">
        <is>
          <t>1992-03-18</t>
        </is>
      </c>
      <c r="X51" t="inlineStr">
        <is>
          <t>1992-03-18</t>
        </is>
      </c>
      <c r="Y51" t="n">
        <v>691</v>
      </c>
      <c r="Z51" t="n">
        <v>657</v>
      </c>
      <c r="AA51" t="n">
        <v>695</v>
      </c>
      <c r="AB51" t="n">
        <v>7</v>
      </c>
      <c r="AC51" t="n">
        <v>7</v>
      </c>
      <c r="AD51" t="n">
        <v>29</v>
      </c>
      <c r="AE51" t="n">
        <v>30</v>
      </c>
      <c r="AF51" t="n">
        <v>14</v>
      </c>
      <c r="AG51" t="n">
        <v>14</v>
      </c>
      <c r="AH51" t="n">
        <v>4</v>
      </c>
      <c r="AI51" t="n">
        <v>4</v>
      </c>
      <c r="AJ51" t="n">
        <v>10</v>
      </c>
      <c r="AK51" t="n">
        <v>11</v>
      </c>
      <c r="AL51" t="n">
        <v>5</v>
      </c>
      <c r="AM51" t="n">
        <v>5</v>
      </c>
      <c r="AN51" t="n">
        <v>0</v>
      </c>
      <c r="AO51" t="n">
        <v>0</v>
      </c>
      <c r="AP51" t="inlineStr">
        <is>
          <t>No</t>
        </is>
      </c>
      <c r="AQ51" t="inlineStr">
        <is>
          <t>No</t>
        </is>
      </c>
      <c r="AR51">
        <f>HYPERLINK("http://catalog.hathitrust.org/Record/008512705","HathiTrust Record")</f>
        <v/>
      </c>
      <c r="AS51">
        <f>HYPERLINK("https://creighton-primo.hosted.exlibrisgroup.com/primo-explore/search?tab=default_tab&amp;search_scope=EVERYTHING&amp;vid=01CRU&amp;lang=en_US&amp;offset=0&amp;query=any,contains,991002961869702656","Catalog Record")</f>
        <v/>
      </c>
      <c r="AT51">
        <f>HYPERLINK("http://www.worldcat.org/oclc/544217","WorldCat Record")</f>
        <v/>
      </c>
      <c r="AU51" t="inlineStr">
        <is>
          <t>836678170:eng</t>
        </is>
      </c>
      <c r="AV51" t="inlineStr">
        <is>
          <t>544217</t>
        </is>
      </c>
      <c r="AW51" t="inlineStr">
        <is>
          <t>991002961869702656</t>
        </is>
      </c>
      <c r="AX51" t="inlineStr">
        <is>
          <t>991002961869702656</t>
        </is>
      </c>
      <c r="AY51" t="inlineStr">
        <is>
          <t>2268090260002656</t>
        </is>
      </c>
      <c r="AZ51" t="inlineStr">
        <is>
          <t>BOOK</t>
        </is>
      </c>
      <c r="BC51" t="inlineStr">
        <is>
          <t>32285001023612</t>
        </is>
      </c>
      <c r="BD51" t="inlineStr">
        <is>
          <t>893511412</t>
        </is>
      </c>
    </row>
    <row r="52">
      <c r="A52" t="inlineStr">
        <is>
          <t>No</t>
        </is>
      </c>
      <c r="B52" t="inlineStr">
        <is>
          <t>NB180 .M82 1966</t>
        </is>
      </c>
      <c r="C52" t="inlineStr">
        <is>
          <t>0                      NB 0180000M  82          1966</t>
        </is>
      </c>
      <c r="D52" t="inlineStr">
        <is>
          <t>Sculpture in the Netherlands, Germany, France, and Spain 1400 to 1500 / Theodor Müller ; translated from the German by Elaine and William Robson Scott.</t>
        </is>
      </c>
      <c r="F52" t="inlineStr">
        <is>
          <t>No</t>
        </is>
      </c>
      <c r="G52" t="inlineStr">
        <is>
          <t>1</t>
        </is>
      </c>
      <c r="H52" t="inlineStr">
        <is>
          <t>No</t>
        </is>
      </c>
      <c r="I52" t="inlineStr">
        <is>
          <t>No</t>
        </is>
      </c>
      <c r="J52" t="inlineStr">
        <is>
          <t>0</t>
        </is>
      </c>
      <c r="K52" t="inlineStr">
        <is>
          <t>Müller, Theodor, 1905-1996.</t>
        </is>
      </c>
      <c r="L52" t="inlineStr">
        <is>
          <t>Baltimore : Penguin, 1966.</t>
        </is>
      </c>
      <c r="M52" t="inlineStr">
        <is>
          <t>1966</t>
        </is>
      </c>
      <c r="O52" t="inlineStr">
        <is>
          <t>eng</t>
        </is>
      </c>
      <c r="P52" t="inlineStr">
        <is>
          <t>mdu</t>
        </is>
      </c>
      <c r="Q52" t="inlineStr">
        <is>
          <t>The Pelican history of art</t>
        </is>
      </c>
      <c r="R52" t="inlineStr">
        <is>
          <t xml:space="preserve">NB </t>
        </is>
      </c>
      <c r="S52" t="n">
        <v>1</v>
      </c>
      <c r="T52" t="n">
        <v>1</v>
      </c>
      <c r="U52" t="inlineStr">
        <is>
          <t>2009-04-08</t>
        </is>
      </c>
      <c r="V52" t="inlineStr">
        <is>
          <t>2009-04-08</t>
        </is>
      </c>
      <c r="W52" t="inlineStr">
        <is>
          <t>2009-04-08</t>
        </is>
      </c>
      <c r="X52" t="inlineStr">
        <is>
          <t>2009-04-08</t>
        </is>
      </c>
      <c r="Y52" t="n">
        <v>854</v>
      </c>
      <c r="Z52" t="n">
        <v>741</v>
      </c>
      <c r="AA52" t="n">
        <v>769</v>
      </c>
      <c r="AB52" t="n">
        <v>7</v>
      </c>
      <c r="AC52" t="n">
        <v>7</v>
      </c>
      <c r="AD52" t="n">
        <v>36</v>
      </c>
      <c r="AE52" t="n">
        <v>36</v>
      </c>
      <c r="AF52" t="n">
        <v>15</v>
      </c>
      <c r="AG52" t="n">
        <v>15</v>
      </c>
      <c r="AH52" t="n">
        <v>7</v>
      </c>
      <c r="AI52" t="n">
        <v>7</v>
      </c>
      <c r="AJ52" t="n">
        <v>17</v>
      </c>
      <c r="AK52" t="n">
        <v>17</v>
      </c>
      <c r="AL52" t="n">
        <v>5</v>
      </c>
      <c r="AM52" t="n">
        <v>5</v>
      </c>
      <c r="AN52" t="n">
        <v>0</v>
      </c>
      <c r="AO52" t="n">
        <v>0</v>
      </c>
      <c r="AP52" t="inlineStr">
        <is>
          <t>No</t>
        </is>
      </c>
      <c r="AQ52" t="inlineStr">
        <is>
          <t>Yes</t>
        </is>
      </c>
      <c r="AR52">
        <f>HYPERLINK("http://catalog.hathitrust.org/Record/001981507","HathiTrust Record")</f>
        <v/>
      </c>
      <c r="AS52">
        <f>HYPERLINK("https://creighton-primo.hosted.exlibrisgroup.com/primo-explore/search?tab=default_tab&amp;search_scope=EVERYTHING&amp;vid=01CRU&amp;lang=en_US&amp;offset=0&amp;query=any,contains,991005306249702656","Catalog Record")</f>
        <v/>
      </c>
      <c r="AT52">
        <f>HYPERLINK("http://www.worldcat.org/oclc/718385","WorldCat Record")</f>
        <v/>
      </c>
      <c r="AU52" t="inlineStr">
        <is>
          <t>10177509646:eng</t>
        </is>
      </c>
      <c r="AV52" t="inlineStr">
        <is>
          <t>718385</t>
        </is>
      </c>
      <c r="AW52" t="inlineStr">
        <is>
          <t>991005306249702656</t>
        </is>
      </c>
      <c r="AX52" t="inlineStr">
        <is>
          <t>991005306249702656</t>
        </is>
      </c>
      <c r="AY52" t="inlineStr">
        <is>
          <t>2256397600002656</t>
        </is>
      </c>
      <c r="AZ52" t="inlineStr">
        <is>
          <t>BOOK</t>
        </is>
      </c>
      <c r="BC52" t="inlineStr">
        <is>
          <t>32285005514038</t>
        </is>
      </c>
      <c r="BD52" t="inlineStr">
        <is>
          <t>893707621</t>
        </is>
      </c>
    </row>
    <row r="53">
      <c r="A53" t="inlineStr">
        <is>
          <t>No</t>
        </is>
      </c>
      <c r="B53" t="inlineStr">
        <is>
          <t>NB1800 .P3</t>
        </is>
      </c>
      <c r="C53" t="inlineStr">
        <is>
          <t>0                      NB 1800000P  3</t>
        </is>
      </c>
      <c r="D53" t="inlineStr">
        <is>
          <t>Tomb sculpture : four lectures on its changing aspects from ancient Egypt to Bernini / edited by H.W. Janson.</t>
        </is>
      </c>
      <c r="F53" t="inlineStr">
        <is>
          <t>No</t>
        </is>
      </c>
      <c r="G53" t="inlineStr">
        <is>
          <t>1</t>
        </is>
      </c>
      <c r="H53" t="inlineStr">
        <is>
          <t>No</t>
        </is>
      </c>
      <c r="I53" t="inlineStr">
        <is>
          <t>No</t>
        </is>
      </c>
      <c r="J53" t="inlineStr">
        <is>
          <t>0</t>
        </is>
      </c>
      <c r="K53" t="inlineStr">
        <is>
          <t>Panofsky, Erwin, 1892-1968.</t>
        </is>
      </c>
      <c r="L53" t="inlineStr">
        <is>
          <t>New York : H.N. Abrams, [1964]</t>
        </is>
      </c>
      <c r="M53" t="inlineStr">
        <is>
          <t>1964</t>
        </is>
      </c>
      <c r="O53" t="inlineStr">
        <is>
          <t>eng</t>
        </is>
      </c>
      <c r="P53" t="inlineStr">
        <is>
          <t>nyu</t>
        </is>
      </c>
      <c r="R53" t="inlineStr">
        <is>
          <t xml:space="preserve">NB </t>
        </is>
      </c>
      <c r="S53" t="n">
        <v>2</v>
      </c>
      <c r="T53" t="n">
        <v>2</v>
      </c>
      <c r="U53" t="inlineStr">
        <is>
          <t>2008-04-21</t>
        </is>
      </c>
      <c r="V53" t="inlineStr">
        <is>
          <t>2008-04-21</t>
        </is>
      </c>
      <c r="W53" t="inlineStr">
        <is>
          <t>1991-09-16</t>
        </is>
      </c>
      <c r="X53" t="inlineStr">
        <is>
          <t>1991-09-16</t>
        </is>
      </c>
      <c r="Y53" t="n">
        <v>723</v>
      </c>
      <c r="Z53" t="n">
        <v>652</v>
      </c>
      <c r="AA53" t="n">
        <v>872</v>
      </c>
      <c r="AB53" t="n">
        <v>5</v>
      </c>
      <c r="AC53" t="n">
        <v>6</v>
      </c>
      <c r="AD53" t="n">
        <v>29</v>
      </c>
      <c r="AE53" t="n">
        <v>37</v>
      </c>
      <c r="AF53" t="n">
        <v>12</v>
      </c>
      <c r="AG53" t="n">
        <v>17</v>
      </c>
      <c r="AH53" t="n">
        <v>7</v>
      </c>
      <c r="AI53" t="n">
        <v>9</v>
      </c>
      <c r="AJ53" t="n">
        <v>16</v>
      </c>
      <c r="AK53" t="n">
        <v>19</v>
      </c>
      <c r="AL53" t="n">
        <v>3</v>
      </c>
      <c r="AM53" t="n">
        <v>4</v>
      </c>
      <c r="AN53" t="n">
        <v>0</v>
      </c>
      <c r="AO53" t="n">
        <v>0</v>
      </c>
      <c r="AP53" t="inlineStr">
        <is>
          <t>No</t>
        </is>
      </c>
      <c r="AQ53" t="inlineStr">
        <is>
          <t>No</t>
        </is>
      </c>
      <c r="AS53">
        <f>HYPERLINK("https://creighton-primo.hosted.exlibrisgroup.com/primo-explore/search?tab=default_tab&amp;search_scope=EVERYTHING&amp;vid=01CRU&amp;lang=en_US&amp;offset=0&amp;query=any,contains,991001137499702656","Catalog Record")</f>
        <v/>
      </c>
      <c r="AT53">
        <f>HYPERLINK("http://www.worldcat.org/oclc/185180","WorldCat Record")</f>
        <v/>
      </c>
      <c r="AU53" t="inlineStr">
        <is>
          <t>1333558:eng</t>
        </is>
      </c>
      <c r="AV53" t="inlineStr">
        <is>
          <t>185180</t>
        </is>
      </c>
      <c r="AW53" t="inlineStr">
        <is>
          <t>991001137499702656</t>
        </is>
      </c>
      <c r="AX53" t="inlineStr">
        <is>
          <t>991001137499702656</t>
        </is>
      </c>
      <c r="AY53" t="inlineStr">
        <is>
          <t>2270844940002656</t>
        </is>
      </c>
      <c r="AZ53" t="inlineStr">
        <is>
          <t>BOOK</t>
        </is>
      </c>
      <c r="BC53" t="inlineStr">
        <is>
          <t>32285000737774</t>
        </is>
      </c>
      <c r="BD53" t="inlineStr">
        <is>
          <t>893590054</t>
        </is>
      </c>
    </row>
    <row r="54">
      <c r="A54" t="inlineStr">
        <is>
          <t>No</t>
        </is>
      </c>
      <c r="B54" t="inlineStr">
        <is>
          <t>NB1856.N4 L8</t>
        </is>
      </c>
      <c r="C54" t="inlineStr">
        <is>
          <t>0                      NB 1856000N  4                  L  8</t>
        </is>
      </c>
      <c r="D54" t="inlineStr">
        <is>
          <t>Graven images : New England stonecarving and its symbols, 1650-1815 / by Allan I. Ludwig.</t>
        </is>
      </c>
      <c r="F54" t="inlineStr">
        <is>
          <t>No</t>
        </is>
      </c>
      <c r="G54" t="inlineStr">
        <is>
          <t>1</t>
        </is>
      </c>
      <c r="H54" t="inlineStr">
        <is>
          <t>No</t>
        </is>
      </c>
      <c r="I54" t="inlineStr">
        <is>
          <t>No</t>
        </is>
      </c>
      <c r="J54" t="inlineStr">
        <is>
          <t>0</t>
        </is>
      </c>
      <c r="K54" t="inlineStr">
        <is>
          <t>Ludwig, Allan I.</t>
        </is>
      </c>
      <c r="L54" t="inlineStr">
        <is>
          <t>Middletown, Conn. : Wesleyan University Press, [1966]</t>
        </is>
      </c>
      <c r="M54" t="inlineStr">
        <is>
          <t>1966</t>
        </is>
      </c>
      <c r="N54" t="inlineStr">
        <is>
          <t>[1st ed.]</t>
        </is>
      </c>
      <c r="O54" t="inlineStr">
        <is>
          <t>eng</t>
        </is>
      </c>
      <c r="P54" t="inlineStr">
        <is>
          <t>ctu</t>
        </is>
      </c>
      <c r="R54" t="inlineStr">
        <is>
          <t xml:space="preserve">NB </t>
        </is>
      </c>
      <c r="S54" t="n">
        <v>8</v>
      </c>
      <c r="T54" t="n">
        <v>8</v>
      </c>
      <c r="U54" t="inlineStr">
        <is>
          <t>2005-04-07</t>
        </is>
      </c>
      <c r="V54" t="inlineStr">
        <is>
          <t>2005-04-07</t>
        </is>
      </c>
      <c r="W54" t="inlineStr">
        <is>
          <t>1993-09-14</t>
        </is>
      </c>
      <c r="X54" t="inlineStr">
        <is>
          <t>1993-09-14</t>
        </is>
      </c>
      <c r="Y54" t="n">
        <v>939</v>
      </c>
      <c r="Z54" t="n">
        <v>884</v>
      </c>
      <c r="AA54" t="n">
        <v>1033</v>
      </c>
      <c r="AB54" t="n">
        <v>6</v>
      </c>
      <c r="AC54" t="n">
        <v>6</v>
      </c>
      <c r="AD54" t="n">
        <v>30</v>
      </c>
      <c r="AE54" t="n">
        <v>35</v>
      </c>
      <c r="AF54" t="n">
        <v>13</v>
      </c>
      <c r="AG54" t="n">
        <v>16</v>
      </c>
      <c r="AH54" t="n">
        <v>6</v>
      </c>
      <c r="AI54" t="n">
        <v>7</v>
      </c>
      <c r="AJ54" t="n">
        <v>13</v>
      </c>
      <c r="AK54" t="n">
        <v>15</v>
      </c>
      <c r="AL54" t="n">
        <v>5</v>
      </c>
      <c r="AM54" t="n">
        <v>5</v>
      </c>
      <c r="AN54" t="n">
        <v>0</v>
      </c>
      <c r="AO54" t="n">
        <v>0</v>
      </c>
      <c r="AP54" t="inlineStr">
        <is>
          <t>No</t>
        </is>
      </c>
      <c r="AQ54" t="inlineStr">
        <is>
          <t>Yes</t>
        </is>
      </c>
      <c r="AR54">
        <f>HYPERLINK("http://catalog.hathitrust.org/Record/000440259","HathiTrust Record")</f>
        <v/>
      </c>
      <c r="AS54">
        <f>HYPERLINK("https://creighton-primo.hosted.exlibrisgroup.com/primo-explore/search?tab=default_tab&amp;search_scope=EVERYTHING&amp;vid=01CRU&amp;lang=en_US&amp;offset=0&amp;query=any,contains,991002895599702656","Catalog Record")</f>
        <v/>
      </c>
      <c r="AT54">
        <f>HYPERLINK("http://www.worldcat.org/oclc/514127","WorldCat Record")</f>
        <v/>
      </c>
      <c r="AU54" t="inlineStr">
        <is>
          <t>484315:eng</t>
        </is>
      </c>
      <c r="AV54" t="inlineStr">
        <is>
          <t>514127</t>
        </is>
      </c>
      <c r="AW54" t="inlineStr">
        <is>
          <t>991002895599702656</t>
        </is>
      </c>
      <c r="AX54" t="inlineStr">
        <is>
          <t>991002895599702656</t>
        </is>
      </c>
      <c r="AY54" t="inlineStr">
        <is>
          <t>2262091520002656</t>
        </is>
      </c>
      <c r="AZ54" t="inlineStr">
        <is>
          <t>BOOK</t>
        </is>
      </c>
      <c r="BC54" t="inlineStr">
        <is>
          <t>32285001770253</t>
        </is>
      </c>
      <c r="BD54" t="inlineStr">
        <is>
          <t>893504959</t>
        </is>
      </c>
    </row>
    <row r="55">
      <c r="A55" t="inlineStr">
        <is>
          <t>No</t>
        </is>
      </c>
      <c r="B55" t="inlineStr">
        <is>
          <t>NB1875 .D38 2000</t>
        </is>
      </c>
      <c r="C55" t="inlineStr">
        <is>
          <t>0                      NB 1875000D  38          2000</t>
        </is>
      </c>
      <c r="D55" t="inlineStr">
        <is>
          <t>Death and the emperor : Roman imperial funerary monuments, from Augustus to Marcus Aurelius / Penelope J. E. Davies.</t>
        </is>
      </c>
      <c r="F55" t="inlineStr">
        <is>
          <t>No</t>
        </is>
      </c>
      <c r="G55" t="inlineStr">
        <is>
          <t>1</t>
        </is>
      </c>
      <c r="H55" t="inlineStr">
        <is>
          <t>No</t>
        </is>
      </c>
      <c r="I55" t="inlineStr">
        <is>
          <t>No</t>
        </is>
      </c>
      <c r="J55" t="inlineStr">
        <is>
          <t>0</t>
        </is>
      </c>
      <c r="K55" t="inlineStr">
        <is>
          <t>Davies, Penelope J. E., 1964-</t>
        </is>
      </c>
      <c r="L55" t="inlineStr">
        <is>
          <t>Cambridge, U.K. ; New York, NY, USA : Cambridge University Press, 2000.</t>
        </is>
      </c>
      <c r="M55" t="inlineStr">
        <is>
          <t>2000</t>
        </is>
      </c>
      <c r="O55" t="inlineStr">
        <is>
          <t>eng</t>
        </is>
      </c>
      <c r="P55" t="inlineStr">
        <is>
          <t>enk</t>
        </is>
      </c>
      <c r="R55" t="inlineStr">
        <is>
          <t xml:space="preserve">NB </t>
        </is>
      </c>
      <c r="S55" t="n">
        <v>2</v>
      </c>
      <c r="T55" t="n">
        <v>2</v>
      </c>
      <c r="U55" t="inlineStr">
        <is>
          <t>2008-04-21</t>
        </is>
      </c>
      <c r="V55" t="inlineStr">
        <is>
          <t>2008-04-21</t>
        </is>
      </c>
      <c r="W55" t="inlineStr">
        <is>
          <t>2001-03-13</t>
        </is>
      </c>
      <c r="X55" t="inlineStr">
        <is>
          <t>2001-03-13</t>
        </is>
      </c>
      <c r="Y55" t="n">
        <v>421</v>
      </c>
      <c r="Z55" t="n">
        <v>298</v>
      </c>
      <c r="AA55" t="n">
        <v>367</v>
      </c>
      <c r="AB55" t="n">
        <v>2</v>
      </c>
      <c r="AC55" t="n">
        <v>2</v>
      </c>
      <c r="AD55" t="n">
        <v>18</v>
      </c>
      <c r="AE55" t="n">
        <v>20</v>
      </c>
      <c r="AF55" t="n">
        <v>6</v>
      </c>
      <c r="AG55" t="n">
        <v>7</v>
      </c>
      <c r="AH55" t="n">
        <v>6</v>
      </c>
      <c r="AI55" t="n">
        <v>7</v>
      </c>
      <c r="AJ55" t="n">
        <v>12</v>
      </c>
      <c r="AK55" t="n">
        <v>12</v>
      </c>
      <c r="AL55" t="n">
        <v>1</v>
      </c>
      <c r="AM55" t="n">
        <v>1</v>
      </c>
      <c r="AN55" t="n">
        <v>0</v>
      </c>
      <c r="AO55" t="n">
        <v>0</v>
      </c>
      <c r="AP55" t="inlineStr">
        <is>
          <t>No</t>
        </is>
      </c>
      <c r="AQ55" t="inlineStr">
        <is>
          <t>No</t>
        </is>
      </c>
      <c r="AS55">
        <f>HYPERLINK("https://creighton-primo.hosted.exlibrisgroup.com/primo-explore/search?tab=default_tab&amp;search_scope=EVERYTHING&amp;vid=01CRU&amp;lang=en_US&amp;offset=0&amp;query=any,contains,991003483759702656","Catalog Record")</f>
        <v/>
      </c>
      <c r="AT55">
        <f>HYPERLINK("http://www.worldcat.org/oclc/42771959","WorldCat Record")</f>
        <v/>
      </c>
      <c r="AU55" t="inlineStr">
        <is>
          <t>807292151:eng</t>
        </is>
      </c>
      <c r="AV55" t="inlineStr">
        <is>
          <t>42771959</t>
        </is>
      </c>
      <c r="AW55" t="inlineStr">
        <is>
          <t>991003483759702656</t>
        </is>
      </c>
      <c r="AX55" t="inlineStr">
        <is>
          <t>991003483759702656</t>
        </is>
      </c>
      <c r="AY55" t="inlineStr">
        <is>
          <t>2272560380002656</t>
        </is>
      </c>
      <c r="AZ55" t="inlineStr">
        <is>
          <t>BOOK</t>
        </is>
      </c>
      <c r="BB55" t="inlineStr">
        <is>
          <t>9780521632362</t>
        </is>
      </c>
      <c r="BC55" t="inlineStr">
        <is>
          <t>32285004305180</t>
        </is>
      </c>
      <c r="BD55" t="inlineStr">
        <is>
          <t>893258461</t>
        </is>
      </c>
    </row>
    <row r="56">
      <c r="A56" t="inlineStr">
        <is>
          <t>No</t>
        </is>
      </c>
      <c r="B56" t="inlineStr">
        <is>
          <t>NB1910 .B57 1995</t>
        </is>
      </c>
      <c r="C56" t="inlineStr">
        <is>
          <t>0                      NB 1910000B  57          1995</t>
        </is>
      </c>
      <c r="D56" t="inlineStr">
        <is>
          <t>African vodun : art, psychology, and power / Suzanne Preston Blier.</t>
        </is>
      </c>
      <c r="F56" t="inlineStr">
        <is>
          <t>No</t>
        </is>
      </c>
      <c r="G56" t="inlineStr">
        <is>
          <t>1</t>
        </is>
      </c>
      <c r="H56" t="inlineStr">
        <is>
          <t>No</t>
        </is>
      </c>
      <c r="I56" t="inlineStr">
        <is>
          <t>No</t>
        </is>
      </c>
      <c r="J56" t="inlineStr">
        <is>
          <t>0</t>
        </is>
      </c>
      <c r="K56" t="inlineStr">
        <is>
          <t>Blier, Suzanne Preston.</t>
        </is>
      </c>
      <c r="L56" t="inlineStr">
        <is>
          <t>Chicago : University of Chicago Press, 1995.</t>
        </is>
      </c>
      <c r="M56" t="inlineStr">
        <is>
          <t>1995</t>
        </is>
      </c>
      <c r="O56" t="inlineStr">
        <is>
          <t>eng</t>
        </is>
      </c>
      <c r="P56" t="inlineStr">
        <is>
          <t>ilu</t>
        </is>
      </c>
      <c r="R56" t="inlineStr">
        <is>
          <t xml:space="preserve">NB </t>
        </is>
      </c>
      <c r="S56" t="n">
        <v>7</v>
      </c>
      <c r="T56" t="n">
        <v>7</v>
      </c>
      <c r="U56" t="inlineStr">
        <is>
          <t>2005-09-09</t>
        </is>
      </c>
      <c r="V56" t="inlineStr">
        <is>
          <t>2005-09-09</t>
        </is>
      </c>
      <c r="W56" t="inlineStr">
        <is>
          <t>1995-05-15</t>
        </is>
      </c>
      <c r="X56" t="inlineStr">
        <is>
          <t>1995-05-15</t>
        </is>
      </c>
      <c r="Y56" t="n">
        <v>768</v>
      </c>
      <c r="Z56" t="n">
        <v>662</v>
      </c>
      <c r="AA56" t="n">
        <v>668</v>
      </c>
      <c r="AB56" t="n">
        <v>3</v>
      </c>
      <c r="AC56" t="n">
        <v>3</v>
      </c>
      <c r="AD56" t="n">
        <v>29</v>
      </c>
      <c r="AE56" t="n">
        <v>29</v>
      </c>
      <c r="AF56" t="n">
        <v>11</v>
      </c>
      <c r="AG56" t="n">
        <v>11</v>
      </c>
      <c r="AH56" t="n">
        <v>9</v>
      </c>
      <c r="AI56" t="n">
        <v>9</v>
      </c>
      <c r="AJ56" t="n">
        <v>15</v>
      </c>
      <c r="AK56" t="n">
        <v>15</v>
      </c>
      <c r="AL56" t="n">
        <v>2</v>
      </c>
      <c r="AM56" t="n">
        <v>2</v>
      </c>
      <c r="AN56" t="n">
        <v>0</v>
      </c>
      <c r="AO56" t="n">
        <v>0</v>
      </c>
      <c r="AP56" t="inlineStr">
        <is>
          <t>No</t>
        </is>
      </c>
      <c r="AQ56" t="inlineStr">
        <is>
          <t>No</t>
        </is>
      </c>
      <c r="AS56">
        <f>HYPERLINK("https://creighton-primo.hosted.exlibrisgroup.com/primo-explore/search?tab=default_tab&amp;search_scope=EVERYTHING&amp;vid=01CRU&amp;lang=en_US&amp;offset=0&amp;query=any,contains,991005418429702656","Catalog Record")</f>
        <v/>
      </c>
      <c r="AT56">
        <f>HYPERLINK("http://www.worldcat.org/oclc/29845439","WorldCat Record")</f>
        <v/>
      </c>
      <c r="AU56" t="inlineStr">
        <is>
          <t>836983270:eng</t>
        </is>
      </c>
      <c r="AV56" t="inlineStr">
        <is>
          <t>29845439</t>
        </is>
      </c>
      <c r="AW56" t="inlineStr">
        <is>
          <t>991005418429702656</t>
        </is>
      </c>
      <c r="AX56" t="inlineStr">
        <is>
          <t>991005418429702656</t>
        </is>
      </c>
      <c r="AY56" t="inlineStr">
        <is>
          <t>2265614110002656</t>
        </is>
      </c>
      <c r="AZ56" t="inlineStr">
        <is>
          <t>BOOK</t>
        </is>
      </c>
      <c r="BB56" t="inlineStr">
        <is>
          <t>9780226058580</t>
        </is>
      </c>
      <c r="BC56" t="inlineStr">
        <is>
          <t>32285002040003</t>
        </is>
      </c>
      <c r="BD56" t="inlineStr">
        <is>
          <t>893808429</t>
        </is>
      </c>
    </row>
    <row r="57">
      <c r="A57" t="inlineStr">
        <is>
          <t>No</t>
        </is>
      </c>
      <c r="B57" t="inlineStr">
        <is>
          <t>NB1930 .F59 1998</t>
        </is>
      </c>
      <c r="C57" t="inlineStr">
        <is>
          <t>0                      NB 1930000F  59          1998</t>
        </is>
      </c>
      <c r="D57" t="inlineStr">
        <is>
          <t>The body in three dimensions / Tom Flynn.</t>
        </is>
      </c>
      <c r="F57" t="inlineStr">
        <is>
          <t>No</t>
        </is>
      </c>
      <c r="G57" t="inlineStr">
        <is>
          <t>1</t>
        </is>
      </c>
      <c r="H57" t="inlineStr">
        <is>
          <t>No</t>
        </is>
      </c>
      <c r="I57" t="inlineStr">
        <is>
          <t>No</t>
        </is>
      </c>
      <c r="J57" t="inlineStr">
        <is>
          <t>0</t>
        </is>
      </c>
      <c r="K57" t="inlineStr">
        <is>
          <t>Flynn, Tom, 1956-</t>
        </is>
      </c>
      <c r="L57" t="inlineStr">
        <is>
          <t>New York City : Harry N. Abrams, Inc., c1998.</t>
        </is>
      </c>
      <c r="M57" t="inlineStr">
        <is>
          <t>1998</t>
        </is>
      </c>
      <c r="O57" t="inlineStr">
        <is>
          <t>eng</t>
        </is>
      </c>
      <c r="P57" t="inlineStr">
        <is>
          <t>nyu</t>
        </is>
      </c>
      <c r="Q57" t="inlineStr">
        <is>
          <t>Perspectives</t>
        </is>
      </c>
      <c r="R57" t="inlineStr">
        <is>
          <t xml:space="preserve">NB </t>
        </is>
      </c>
      <c r="S57" t="n">
        <v>9</v>
      </c>
      <c r="T57" t="n">
        <v>9</v>
      </c>
      <c r="U57" t="inlineStr">
        <is>
          <t>2006-10-23</t>
        </is>
      </c>
      <c r="V57" t="inlineStr">
        <is>
          <t>2006-10-23</t>
        </is>
      </c>
      <c r="W57" t="inlineStr">
        <is>
          <t>1998-12-09</t>
        </is>
      </c>
      <c r="X57" t="inlineStr">
        <is>
          <t>1998-12-09</t>
        </is>
      </c>
      <c r="Y57" t="n">
        <v>588</v>
      </c>
      <c r="Z57" t="n">
        <v>526</v>
      </c>
      <c r="AA57" t="n">
        <v>527</v>
      </c>
      <c r="AB57" t="n">
        <v>3</v>
      </c>
      <c r="AC57" t="n">
        <v>3</v>
      </c>
      <c r="AD57" t="n">
        <v>16</v>
      </c>
      <c r="AE57" t="n">
        <v>16</v>
      </c>
      <c r="AF57" t="n">
        <v>8</v>
      </c>
      <c r="AG57" t="n">
        <v>8</v>
      </c>
      <c r="AH57" t="n">
        <v>2</v>
      </c>
      <c r="AI57" t="n">
        <v>2</v>
      </c>
      <c r="AJ57" t="n">
        <v>9</v>
      </c>
      <c r="AK57" t="n">
        <v>9</v>
      </c>
      <c r="AL57" t="n">
        <v>1</v>
      </c>
      <c r="AM57" t="n">
        <v>1</v>
      </c>
      <c r="AN57" t="n">
        <v>0</v>
      </c>
      <c r="AO57" t="n">
        <v>0</v>
      </c>
      <c r="AP57" t="inlineStr">
        <is>
          <t>No</t>
        </is>
      </c>
      <c r="AQ57" t="inlineStr">
        <is>
          <t>Yes</t>
        </is>
      </c>
      <c r="AR57">
        <f>HYPERLINK("http://catalog.hathitrust.org/Record/003999813","HathiTrust Record")</f>
        <v/>
      </c>
      <c r="AS57">
        <f>HYPERLINK("https://creighton-primo.hosted.exlibrisgroup.com/primo-explore/search?tab=default_tab&amp;search_scope=EVERYTHING&amp;vid=01CRU&amp;lang=en_US&amp;offset=0&amp;query=any,contains,991002850849702656","Catalog Record")</f>
        <v/>
      </c>
      <c r="AT57">
        <f>HYPERLINK("http://www.worldcat.org/oclc/37567232","WorldCat Record")</f>
        <v/>
      </c>
      <c r="AU57" t="inlineStr">
        <is>
          <t>5219219422:eng</t>
        </is>
      </c>
      <c r="AV57" t="inlineStr">
        <is>
          <t>37567232</t>
        </is>
      </c>
      <c r="AW57" t="inlineStr">
        <is>
          <t>991002850849702656</t>
        </is>
      </c>
      <c r="AX57" t="inlineStr">
        <is>
          <t>991002850849702656</t>
        </is>
      </c>
      <c r="AY57" t="inlineStr">
        <is>
          <t>2270169960002656</t>
        </is>
      </c>
      <c r="AZ57" t="inlineStr">
        <is>
          <t>BOOK</t>
        </is>
      </c>
      <c r="BB57" t="inlineStr">
        <is>
          <t>9780810927162</t>
        </is>
      </c>
      <c r="BC57" t="inlineStr">
        <is>
          <t>32285003505178</t>
        </is>
      </c>
      <c r="BD57" t="inlineStr">
        <is>
          <t>893239587</t>
        </is>
      </c>
    </row>
    <row r="58">
      <c r="A58" t="inlineStr">
        <is>
          <t>No</t>
        </is>
      </c>
      <c r="B58" t="inlineStr">
        <is>
          <t>NB1932 .L79 1980</t>
        </is>
      </c>
      <c r="C58" t="inlineStr">
        <is>
          <t>0                      NB 1932000L  79          1980</t>
        </is>
      </c>
      <c r="D58" t="inlineStr">
        <is>
          <t>Modeling the figure in clay / sculpture by Bruno Lucchesi ; text and photos. by Margit Malmstrom.</t>
        </is>
      </c>
      <c r="F58" t="inlineStr">
        <is>
          <t>No</t>
        </is>
      </c>
      <c r="G58" t="inlineStr">
        <is>
          <t>1</t>
        </is>
      </c>
      <c r="H58" t="inlineStr">
        <is>
          <t>No</t>
        </is>
      </c>
      <c r="I58" t="inlineStr">
        <is>
          <t>No</t>
        </is>
      </c>
      <c r="J58" t="inlineStr">
        <is>
          <t>0</t>
        </is>
      </c>
      <c r="K58" t="inlineStr">
        <is>
          <t>Lucchesi, Bruno, 1926-</t>
        </is>
      </c>
      <c r="L58" t="inlineStr">
        <is>
          <t>New York : Watson-Guptill Publications, 1980.</t>
        </is>
      </c>
      <c r="M58" t="inlineStr">
        <is>
          <t>1980</t>
        </is>
      </c>
      <c r="O58" t="inlineStr">
        <is>
          <t>eng</t>
        </is>
      </c>
      <c r="P58" t="inlineStr">
        <is>
          <t>nyu</t>
        </is>
      </c>
      <c r="R58" t="inlineStr">
        <is>
          <t xml:space="preserve">NB </t>
        </is>
      </c>
      <c r="S58" t="n">
        <v>6</v>
      </c>
      <c r="T58" t="n">
        <v>6</v>
      </c>
      <c r="U58" t="inlineStr">
        <is>
          <t>1999-01-25</t>
        </is>
      </c>
      <c r="V58" t="inlineStr">
        <is>
          <t>1999-01-25</t>
        </is>
      </c>
      <c r="W58" t="inlineStr">
        <is>
          <t>1992-09-02</t>
        </is>
      </c>
      <c r="X58" t="inlineStr">
        <is>
          <t>1992-09-02</t>
        </is>
      </c>
      <c r="Y58" t="n">
        <v>669</v>
      </c>
      <c r="Z58" t="n">
        <v>549</v>
      </c>
      <c r="AA58" t="n">
        <v>552</v>
      </c>
      <c r="AB58" t="n">
        <v>6</v>
      </c>
      <c r="AC58" t="n">
        <v>6</v>
      </c>
      <c r="AD58" t="n">
        <v>14</v>
      </c>
      <c r="AE58" t="n">
        <v>14</v>
      </c>
      <c r="AF58" t="n">
        <v>5</v>
      </c>
      <c r="AG58" t="n">
        <v>5</v>
      </c>
      <c r="AH58" t="n">
        <v>2</v>
      </c>
      <c r="AI58" t="n">
        <v>2</v>
      </c>
      <c r="AJ58" t="n">
        <v>6</v>
      </c>
      <c r="AK58" t="n">
        <v>6</v>
      </c>
      <c r="AL58" t="n">
        <v>4</v>
      </c>
      <c r="AM58" t="n">
        <v>4</v>
      </c>
      <c r="AN58" t="n">
        <v>0</v>
      </c>
      <c r="AO58" t="n">
        <v>0</v>
      </c>
      <c r="AP58" t="inlineStr">
        <is>
          <t>No</t>
        </is>
      </c>
      <c r="AQ58" t="inlineStr">
        <is>
          <t>Yes</t>
        </is>
      </c>
      <c r="AR58">
        <f>HYPERLINK("http://catalog.hathitrust.org/Record/000231577","HathiTrust Record")</f>
        <v/>
      </c>
      <c r="AS58">
        <f>HYPERLINK("https://creighton-primo.hosted.exlibrisgroup.com/primo-explore/search?tab=default_tab&amp;search_scope=EVERYTHING&amp;vid=01CRU&amp;lang=en_US&amp;offset=0&amp;query=any,contains,991004885369702656","Catalog Record")</f>
        <v/>
      </c>
      <c r="AT58">
        <f>HYPERLINK("http://www.worldcat.org/oclc/5831526","WorldCat Record")</f>
        <v/>
      </c>
      <c r="AU58" t="inlineStr">
        <is>
          <t>488338:eng</t>
        </is>
      </c>
      <c r="AV58" t="inlineStr">
        <is>
          <t>5831526</t>
        </is>
      </c>
      <c r="AW58" t="inlineStr">
        <is>
          <t>991004885369702656</t>
        </is>
      </c>
      <c r="AX58" t="inlineStr">
        <is>
          <t>991004885369702656</t>
        </is>
      </c>
      <c r="AY58" t="inlineStr">
        <is>
          <t>2263308670002656</t>
        </is>
      </c>
      <c r="AZ58" t="inlineStr">
        <is>
          <t>BOOK</t>
        </is>
      </c>
      <c r="BB58" t="inlineStr">
        <is>
          <t>9780823030972</t>
        </is>
      </c>
      <c r="BC58" t="inlineStr">
        <is>
          <t>32285001276939</t>
        </is>
      </c>
      <c r="BD58" t="inlineStr">
        <is>
          <t>893889402</t>
        </is>
      </c>
    </row>
    <row r="59">
      <c r="A59" t="inlineStr">
        <is>
          <t>No</t>
        </is>
      </c>
      <c r="B59" t="inlineStr">
        <is>
          <t>NB1936 .I5 1997</t>
        </is>
      </c>
      <c r="C59" t="inlineStr">
        <is>
          <t>0                      NB 1936000I  5           1997</t>
        </is>
      </c>
      <c r="D59" t="inlineStr">
        <is>
          <t>In praise of women / edited by Jonathan Meader ; foreword by Isabel Allende.</t>
        </is>
      </c>
      <c r="F59" t="inlineStr">
        <is>
          <t>No</t>
        </is>
      </c>
      <c r="G59" t="inlineStr">
        <is>
          <t>1</t>
        </is>
      </c>
      <c r="H59" t="inlineStr">
        <is>
          <t>No</t>
        </is>
      </c>
      <c r="I59" t="inlineStr">
        <is>
          <t>No</t>
        </is>
      </c>
      <c r="J59" t="inlineStr">
        <is>
          <t>0</t>
        </is>
      </c>
      <c r="L59" t="inlineStr">
        <is>
          <t>Berkeley, Calif. : Celestial Arts, c1997.</t>
        </is>
      </c>
      <c r="M59" t="inlineStr">
        <is>
          <t>1997</t>
        </is>
      </c>
      <c r="O59" t="inlineStr">
        <is>
          <t>eng</t>
        </is>
      </c>
      <c r="P59" t="inlineStr">
        <is>
          <t>cau</t>
        </is>
      </c>
      <c r="R59" t="inlineStr">
        <is>
          <t xml:space="preserve">NB </t>
        </is>
      </c>
      <c r="S59" t="n">
        <v>1</v>
      </c>
      <c r="T59" t="n">
        <v>1</v>
      </c>
      <c r="U59" t="inlineStr">
        <is>
          <t>2009-03-31</t>
        </is>
      </c>
      <c r="V59" t="inlineStr">
        <is>
          <t>2009-03-31</t>
        </is>
      </c>
      <c r="W59" t="inlineStr">
        <is>
          <t>2009-03-31</t>
        </is>
      </c>
      <c r="X59" t="inlineStr">
        <is>
          <t>2009-03-31</t>
        </is>
      </c>
      <c r="Y59" t="n">
        <v>47</v>
      </c>
      <c r="Z59" t="n">
        <v>40</v>
      </c>
      <c r="AA59" t="n">
        <v>41</v>
      </c>
      <c r="AB59" t="n">
        <v>1</v>
      </c>
      <c r="AC59" t="n">
        <v>1</v>
      </c>
      <c r="AD59" t="n">
        <v>0</v>
      </c>
      <c r="AE59" t="n">
        <v>0</v>
      </c>
      <c r="AF59" t="n">
        <v>0</v>
      </c>
      <c r="AG59" t="n">
        <v>0</v>
      </c>
      <c r="AH59" t="n">
        <v>0</v>
      </c>
      <c r="AI59" t="n">
        <v>0</v>
      </c>
      <c r="AJ59" t="n">
        <v>0</v>
      </c>
      <c r="AK59" t="n">
        <v>0</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HYPERLINK("https://creighton-primo.hosted.exlibrisgroup.com/primo-explore/search?tab=default_tab&amp;search_scope=EVERYTHING&amp;vid=01CRU&amp;lang=en_US&amp;offset=0&amp;query=any,contains,991005305539702656","Catalog Record")</f>
        <v/>
      </c>
      <c r="AT59">
        <f>HYPERLINK("http://www.worldcat.org/oclc/37238967","WorldCat Record")</f>
        <v/>
      </c>
      <c r="AU59" t="inlineStr">
        <is>
          <t>648780:eng</t>
        </is>
      </c>
      <c r="AV59" t="inlineStr">
        <is>
          <t>37238967</t>
        </is>
      </c>
      <c r="AW59" t="inlineStr">
        <is>
          <t>991005305539702656</t>
        </is>
      </c>
      <c r="AX59" t="inlineStr">
        <is>
          <t>991005305539702656</t>
        </is>
      </c>
      <c r="AY59" t="inlineStr">
        <is>
          <t>2255148440002656</t>
        </is>
      </c>
      <c r="AZ59" t="inlineStr">
        <is>
          <t>BOOK</t>
        </is>
      </c>
      <c r="BB59" t="inlineStr">
        <is>
          <t>9780890878422</t>
        </is>
      </c>
      <c r="BC59" t="inlineStr">
        <is>
          <t>32285005512222</t>
        </is>
      </c>
      <c r="BD59" t="inlineStr">
        <is>
          <t>893707620</t>
        </is>
      </c>
    </row>
    <row r="60">
      <c r="A60" t="inlineStr">
        <is>
          <t>No</t>
        </is>
      </c>
      <c r="B60" t="inlineStr">
        <is>
          <t>NB197 .E44 1974</t>
        </is>
      </c>
      <c r="C60" t="inlineStr">
        <is>
          <t>0                      NB 0197000E  44          1974</t>
        </is>
      </c>
      <c r="D60" t="inlineStr">
        <is>
          <t>Origins of modern sculpture: pioneers and premises [by] Albert E. Elsen.</t>
        </is>
      </c>
      <c r="F60" t="inlineStr">
        <is>
          <t>No</t>
        </is>
      </c>
      <c r="G60" t="inlineStr">
        <is>
          <t>1</t>
        </is>
      </c>
      <c r="H60" t="inlineStr">
        <is>
          <t>No</t>
        </is>
      </c>
      <c r="I60" t="inlineStr">
        <is>
          <t>No</t>
        </is>
      </c>
      <c r="J60" t="inlineStr">
        <is>
          <t>0</t>
        </is>
      </c>
      <c r="K60" t="inlineStr">
        <is>
          <t>Elsen, Albert E., 1927-1995.</t>
        </is>
      </c>
      <c r="L60" t="inlineStr">
        <is>
          <t>New York, G. Braziller [1974]</t>
        </is>
      </c>
      <c r="M60" t="inlineStr">
        <is>
          <t>1974</t>
        </is>
      </c>
      <c r="O60" t="inlineStr">
        <is>
          <t>eng</t>
        </is>
      </c>
      <c r="P60" t="inlineStr">
        <is>
          <t>nyu</t>
        </is>
      </c>
      <c r="R60" t="inlineStr">
        <is>
          <t xml:space="preserve">NB </t>
        </is>
      </c>
      <c r="S60" t="n">
        <v>2</v>
      </c>
      <c r="T60" t="n">
        <v>2</v>
      </c>
      <c r="U60" t="inlineStr">
        <is>
          <t>1997-08-27</t>
        </is>
      </c>
      <c r="V60" t="inlineStr">
        <is>
          <t>1997-08-27</t>
        </is>
      </c>
      <c r="W60" t="inlineStr">
        <is>
          <t>1997-07-03</t>
        </is>
      </c>
      <c r="X60" t="inlineStr">
        <is>
          <t>1997-07-03</t>
        </is>
      </c>
      <c r="Y60" t="n">
        <v>967</v>
      </c>
      <c r="Z60" t="n">
        <v>868</v>
      </c>
      <c r="AA60" t="n">
        <v>882</v>
      </c>
      <c r="AB60" t="n">
        <v>6</v>
      </c>
      <c r="AC60" t="n">
        <v>6</v>
      </c>
      <c r="AD60" t="n">
        <v>32</v>
      </c>
      <c r="AE60" t="n">
        <v>32</v>
      </c>
      <c r="AF60" t="n">
        <v>17</v>
      </c>
      <c r="AG60" t="n">
        <v>17</v>
      </c>
      <c r="AH60" t="n">
        <v>5</v>
      </c>
      <c r="AI60" t="n">
        <v>5</v>
      </c>
      <c r="AJ60" t="n">
        <v>14</v>
      </c>
      <c r="AK60" t="n">
        <v>14</v>
      </c>
      <c r="AL60" t="n">
        <v>4</v>
      </c>
      <c r="AM60" t="n">
        <v>4</v>
      </c>
      <c r="AN60" t="n">
        <v>0</v>
      </c>
      <c r="AO60" t="n">
        <v>0</v>
      </c>
      <c r="AP60" t="inlineStr">
        <is>
          <t>No</t>
        </is>
      </c>
      <c r="AQ60" t="inlineStr">
        <is>
          <t>Yes</t>
        </is>
      </c>
      <c r="AR60">
        <f>HYPERLINK("http://catalog.hathitrust.org/Record/001461570","HathiTrust Record")</f>
        <v/>
      </c>
      <c r="AS60">
        <f>HYPERLINK("https://creighton-primo.hosted.exlibrisgroup.com/primo-explore/search?tab=default_tab&amp;search_scope=EVERYTHING&amp;vid=01CRU&amp;lang=en_US&amp;offset=0&amp;query=any,contains,991003495119702656","Catalog Record")</f>
        <v/>
      </c>
      <c r="AT60">
        <f>HYPERLINK("http://www.worldcat.org/oclc/1045908","WorldCat Record")</f>
        <v/>
      </c>
      <c r="AU60" t="inlineStr">
        <is>
          <t>464580:eng</t>
        </is>
      </c>
      <c r="AV60" t="inlineStr">
        <is>
          <t>1045908</t>
        </is>
      </c>
      <c r="AW60" t="inlineStr">
        <is>
          <t>991003495119702656</t>
        </is>
      </c>
      <c r="AX60" t="inlineStr">
        <is>
          <t>991003495119702656</t>
        </is>
      </c>
      <c r="AY60" t="inlineStr">
        <is>
          <t>2268765240002656</t>
        </is>
      </c>
      <c r="AZ60" t="inlineStr">
        <is>
          <t>BOOK</t>
        </is>
      </c>
      <c r="BB60" t="inlineStr">
        <is>
          <t>9780807607367</t>
        </is>
      </c>
      <c r="BC60" t="inlineStr">
        <is>
          <t>32285002863537</t>
        </is>
      </c>
      <c r="BD60" t="inlineStr">
        <is>
          <t>893799782</t>
        </is>
      </c>
    </row>
    <row r="61">
      <c r="A61" t="inlineStr">
        <is>
          <t>No</t>
        </is>
      </c>
      <c r="B61" t="inlineStr">
        <is>
          <t>NB198 .H32 1988</t>
        </is>
      </c>
      <c r="C61" t="inlineStr">
        <is>
          <t>0                      NB 0198000H  32          1988</t>
        </is>
      </c>
      <c r="D61" t="inlineStr">
        <is>
          <t>Modern sculpture : tradition and innovation / A.M. Hammacher ; [translator, Mary Charles].</t>
        </is>
      </c>
      <c r="F61" t="inlineStr">
        <is>
          <t>No</t>
        </is>
      </c>
      <c r="G61" t="inlineStr">
        <is>
          <t>1</t>
        </is>
      </c>
      <c r="H61" t="inlineStr">
        <is>
          <t>No</t>
        </is>
      </c>
      <c r="I61" t="inlineStr">
        <is>
          <t>No</t>
        </is>
      </c>
      <c r="J61" t="inlineStr">
        <is>
          <t>0</t>
        </is>
      </c>
      <c r="K61" t="inlineStr">
        <is>
          <t>Hammacher, Abraham Marie, 1897-2002.</t>
        </is>
      </c>
      <c r="L61" t="inlineStr">
        <is>
          <t>New York : H.N. Abrams, 1988.</t>
        </is>
      </c>
      <c r="M61" t="inlineStr">
        <is>
          <t>1988</t>
        </is>
      </c>
      <c r="N61" t="inlineStr">
        <is>
          <t>Enl. ed.</t>
        </is>
      </c>
      <c r="O61" t="inlineStr">
        <is>
          <t>eng</t>
        </is>
      </c>
      <c r="P61" t="inlineStr">
        <is>
          <t>nyu</t>
        </is>
      </c>
      <c r="R61" t="inlineStr">
        <is>
          <t xml:space="preserve">NB </t>
        </is>
      </c>
      <c r="S61" t="n">
        <v>19</v>
      </c>
      <c r="T61" t="n">
        <v>19</v>
      </c>
      <c r="U61" t="inlineStr">
        <is>
          <t>1996-01-10</t>
        </is>
      </c>
      <c r="V61" t="inlineStr">
        <is>
          <t>1996-01-10</t>
        </is>
      </c>
      <c r="W61" t="inlineStr">
        <is>
          <t>1992-03-04</t>
        </is>
      </c>
      <c r="X61" t="inlineStr">
        <is>
          <t>1992-03-04</t>
        </is>
      </c>
      <c r="Y61" t="n">
        <v>430</v>
      </c>
      <c r="Z61" t="n">
        <v>350</v>
      </c>
      <c r="AA61" t="n">
        <v>350</v>
      </c>
      <c r="AB61" t="n">
        <v>5</v>
      </c>
      <c r="AC61" t="n">
        <v>5</v>
      </c>
      <c r="AD61" t="n">
        <v>13</v>
      </c>
      <c r="AE61" t="n">
        <v>13</v>
      </c>
      <c r="AF61" t="n">
        <v>6</v>
      </c>
      <c r="AG61" t="n">
        <v>6</v>
      </c>
      <c r="AH61" t="n">
        <v>2</v>
      </c>
      <c r="AI61" t="n">
        <v>2</v>
      </c>
      <c r="AJ61" t="n">
        <v>6</v>
      </c>
      <c r="AK61" t="n">
        <v>6</v>
      </c>
      <c r="AL61" t="n">
        <v>3</v>
      </c>
      <c r="AM61" t="n">
        <v>3</v>
      </c>
      <c r="AN61" t="n">
        <v>0</v>
      </c>
      <c r="AO61" t="n">
        <v>0</v>
      </c>
      <c r="AP61" t="inlineStr">
        <is>
          <t>No</t>
        </is>
      </c>
      <c r="AQ61" t="inlineStr">
        <is>
          <t>No</t>
        </is>
      </c>
      <c r="AS61">
        <f>HYPERLINK("https://creighton-primo.hosted.exlibrisgroup.com/primo-explore/search?tab=default_tab&amp;search_scope=EVERYTHING&amp;vid=01CRU&amp;lang=en_US&amp;offset=0&amp;query=any,contains,991001375099702656","Catalog Record")</f>
        <v/>
      </c>
      <c r="AT61">
        <f>HYPERLINK("http://www.worldcat.org/oclc/18598360","WorldCat Record")</f>
        <v/>
      </c>
      <c r="AU61" t="inlineStr">
        <is>
          <t>2916897856:eng</t>
        </is>
      </c>
      <c r="AV61" t="inlineStr">
        <is>
          <t>18598360</t>
        </is>
      </c>
      <c r="AW61" t="inlineStr">
        <is>
          <t>991001375099702656</t>
        </is>
      </c>
      <c r="AX61" t="inlineStr">
        <is>
          <t>991001375099702656</t>
        </is>
      </c>
      <c r="AY61" t="inlineStr">
        <is>
          <t>2266986650002656</t>
        </is>
      </c>
      <c r="AZ61" t="inlineStr">
        <is>
          <t>BOOK</t>
        </is>
      </c>
      <c r="BB61" t="inlineStr">
        <is>
          <t>9780810908901</t>
        </is>
      </c>
      <c r="BC61" t="inlineStr">
        <is>
          <t>32285000979194</t>
        </is>
      </c>
      <c r="BD61" t="inlineStr">
        <is>
          <t>893690567</t>
        </is>
      </c>
    </row>
    <row r="62">
      <c r="A62" t="inlineStr">
        <is>
          <t>No</t>
        </is>
      </c>
      <c r="B62" t="inlineStr">
        <is>
          <t>NB198 .S355 1992</t>
        </is>
      </c>
      <c r="C62" t="inlineStr">
        <is>
          <t>0                      NB 0198000S  355         1992</t>
        </is>
      </c>
      <c r="D62" t="inlineStr">
        <is>
          <t>Contemporary public sculpture : tradition, transformation, and controversy / Harriet F. Senie.</t>
        </is>
      </c>
      <c r="F62" t="inlineStr">
        <is>
          <t>No</t>
        </is>
      </c>
      <c r="G62" t="inlineStr">
        <is>
          <t>1</t>
        </is>
      </c>
      <c r="H62" t="inlineStr">
        <is>
          <t>No</t>
        </is>
      </c>
      <c r="I62" t="inlineStr">
        <is>
          <t>No</t>
        </is>
      </c>
      <c r="J62" t="inlineStr">
        <is>
          <t>0</t>
        </is>
      </c>
      <c r="K62" t="inlineStr">
        <is>
          <t>Senie, Harriet.</t>
        </is>
      </c>
      <c r="L62" t="inlineStr">
        <is>
          <t>New York : Oxford University Press, 1992.</t>
        </is>
      </c>
      <c r="M62" t="inlineStr">
        <is>
          <t>1992</t>
        </is>
      </c>
      <c r="O62" t="inlineStr">
        <is>
          <t>eng</t>
        </is>
      </c>
      <c r="P62" t="inlineStr">
        <is>
          <t>nyu</t>
        </is>
      </c>
      <c r="R62" t="inlineStr">
        <is>
          <t xml:space="preserve">NB </t>
        </is>
      </c>
      <c r="S62" t="n">
        <v>7</v>
      </c>
      <c r="T62" t="n">
        <v>7</v>
      </c>
      <c r="U62" t="inlineStr">
        <is>
          <t>2004-04-17</t>
        </is>
      </c>
      <c r="V62" t="inlineStr">
        <is>
          <t>2004-04-17</t>
        </is>
      </c>
      <c r="W62" t="inlineStr">
        <is>
          <t>1994-04-14</t>
        </is>
      </c>
      <c r="X62" t="inlineStr">
        <is>
          <t>1994-04-14</t>
        </is>
      </c>
      <c r="Y62" t="n">
        <v>827</v>
      </c>
      <c r="Z62" t="n">
        <v>693</v>
      </c>
      <c r="AA62" t="n">
        <v>696</v>
      </c>
      <c r="AB62" t="n">
        <v>7</v>
      </c>
      <c r="AC62" t="n">
        <v>7</v>
      </c>
      <c r="AD62" t="n">
        <v>30</v>
      </c>
      <c r="AE62" t="n">
        <v>30</v>
      </c>
      <c r="AF62" t="n">
        <v>12</v>
      </c>
      <c r="AG62" t="n">
        <v>12</v>
      </c>
      <c r="AH62" t="n">
        <v>8</v>
      </c>
      <c r="AI62" t="n">
        <v>8</v>
      </c>
      <c r="AJ62" t="n">
        <v>12</v>
      </c>
      <c r="AK62" t="n">
        <v>12</v>
      </c>
      <c r="AL62" t="n">
        <v>5</v>
      </c>
      <c r="AM62" t="n">
        <v>5</v>
      </c>
      <c r="AN62" t="n">
        <v>0</v>
      </c>
      <c r="AO62" t="n">
        <v>0</v>
      </c>
      <c r="AP62" t="inlineStr">
        <is>
          <t>No</t>
        </is>
      </c>
      <c r="AQ62" t="inlineStr">
        <is>
          <t>Yes</t>
        </is>
      </c>
      <c r="AR62">
        <f>HYPERLINK("http://catalog.hathitrust.org/Record/002593162","HathiTrust Record")</f>
        <v/>
      </c>
      <c r="AS62">
        <f>HYPERLINK("https://creighton-primo.hosted.exlibrisgroup.com/primo-explore/search?tab=default_tab&amp;search_scope=EVERYTHING&amp;vid=01CRU&amp;lang=en_US&amp;offset=0&amp;query=any,contains,991001928449702656","Catalog Record")</f>
        <v/>
      </c>
      <c r="AT62">
        <f>HYPERLINK("http://www.worldcat.org/oclc/24373295","WorldCat Record")</f>
        <v/>
      </c>
      <c r="AU62" t="inlineStr">
        <is>
          <t>20827995:eng</t>
        </is>
      </c>
      <c r="AV62" t="inlineStr">
        <is>
          <t>24373295</t>
        </is>
      </c>
      <c r="AW62" t="inlineStr">
        <is>
          <t>991001928449702656</t>
        </is>
      </c>
      <c r="AX62" t="inlineStr">
        <is>
          <t>991001928449702656</t>
        </is>
      </c>
      <c r="AY62" t="inlineStr">
        <is>
          <t>2268735290002656</t>
        </is>
      </c>
      <c r="AZ62" t="inlineStr">
        <is>
          <t>BOOK</t>
        </is>
      </c>
      <c r="BB62" t="inlineStr">
        <is>
          <t>9780195073188</t>
        </is>
      </c>
      <c r="BC62" t="inlineStr">
        <is>
          <t>32285001875904</t>
        </is>
      </c>
      <c r="BD62" t="inlineStr">
        <is>
          <t>893256642</t>
        </is>
      </c>
    </row>
    <row r="63">
      <c r="A63" t="inlineStr">
        <is>
          <t>No</t>
        </is>
      </c>
      <c r="B63" t="inlineStr">
        <is>
          <t>NB198 .S4 1969</t>
        </is>
      </c>
      <c r="C63" t="inlineStr">
        <is>
          <t>0                      NB 0198000S  4           1969</t>
        </is>
      </c>
      <c r="D63" t="inlineStr">
        <is>
          <t>Tradition and experiment in modern sculpture.</t>
        </is>
      </c>
      <c r="F63" t="inlineStr">
        <is>
          <t>No</t>
        </is>
      </c>
      <c r="G63" t="inlineStr">
        <is>
          <t>1</t>
        </is>
      </c>
      <c r="H63" t="inlineStr">
        <is>
          <t>No</t>
        </is>
      </c>
      <c r="I63" t="inlineStr">
        <is>
          <t>No</t>
        </is>
      </c>
      <c r="J63" t="inlineStr">
        <is>
          <t>0</t>
        </is>
      </c>
      <c r="K63" t="inlineStr">
        <is>
          <t>Seymour, Charles, Jr., 1912-1977.</t>
        </is>
      </c>
      <c r="L63" t="inlineStr">
        <is>
          <t>New York : Arno Press, [1969, c1949]</t>
        </is>
      </c>
      <c r="M63" t="inlineStr">
        <is>
          <t>1969</t>
        </is>
      </c>
      <c r="O63" t="inlineStr">
        <is>
          <t>eng</t>
        </is>
      </c>
      <c r="P63" t="inlineStr">
        <is>
          <t>nyu</t>
        </is>
      </c>
      <c r="Q63" t="inlineStr">
        <is>
          <t>Arno series of contemporary art ; no. 34</t>
        </is>
      </c>
      <c r="R63" t="inlineStr">
        <is>
          <t xml:space="preserve">NB </t>
        </is>
      </c>
      <c r="S63" t="n">
        <v>1</v>
      </c>
      <c r="T63" t="n">
        <v>1</v>
      </c>
      <c r="U63" t="inlineStr">
        <is>
          <t>1998-07-17</t>
        </is>
      </c>
      <c r="V63" t="inlineStr">
        <is>
          <t>1998-07-17</t>
        </is>
      </c>
      <c r="W63" t="inlineStr">
        <is>
          <t>1992-02-10</t>
        </is>
      </c>
      <c r="X63" t="inlineStr">
        <is>
          <t>1992-02-10</t>
        </is>
      </c>
      <c r="Y63" t="n">
        <v>239</v>
      </c>
      <c r="Z63" t="n">
        <v>206</v>
      </c>
      <c r="AA63" t="n">
        <v>441</v>
      </c>
      <c r="AB63" t="n">
        <v>2</v>
      </c>
      <c r="AC63" t="n">
        <v>5</v>
      </c>
      <c r="AD63" t="n">
        <v>9</v>
      </c>
      <c r="AE63" t="n">
        <v>13</v>
      </c>
      <c r="AF63" t="n">
        <v>2</v>
      </c>
      <c r="AG63" t="n">
        <v>3</v>
      </c>
      <c r="AH63" t="n">
        <v>2</v>
      </c>
      <c r="AI63" t="n">
        <v>3</v>
      </c>
      <c r="AJ63" t="n">
        <v>6</v>
      </c>
      <c r="AK63" t="n">
        <v>8</v>
      </c>
      <c r="AL63" t="n">
        <v>1</v>
      </c>
      <c r="AM63" t="n">
        <v>3</v>
      </c>
      <c r="AN63" t="n">
        <v>0</v>
      </c>
      <c r="AO63" t="n">
        <v>0</v>
      </c>
      <c r="AP63" t="inlineStr">
        <is>
          <t>No</t>
        </is>
      </c>
      <c r="AQ63" t="inlineStr">
        <is>
          <t>No</t>
        </is>
      </c>
      <c r="AS63">
        <f>HYPERLINK("https://creighton-primo.hosted.exlibrisgroup.com/primo-explore/search?tab=default_tab&amp;search_scope=EVERYTHING&amp;vid=01CRU&amp;lang=en_US&amp;offset=0&amp;query=any,contains,991000633429702656","Catalog Record")</f>
        <v/>
      </c>
      <c r="AT63">
        <f>HYPERLINK("http://www.worldcat.org/oclc/106673","WorldCat Record")</f>
        <v/>
      </c>
      <c r="AU63" t="inlineStr">
        <is>
          <t>133472782:eng</t>
        </is>
      </c>
      <c r="AV63" t="inlineStr">
        <is>
          <t>106673</t>
        </is>
      </c>
      <c r="AW63" t="inlineStr">
        <is>
          <t>991000633429702656</t>
        </is>
      </c>
      <c r="AX63" t="inlineStr">
        <is>
          <t>991000633429702656</t>
        </is>
      </c>
      <c r="AY63" t="inlineStr">
        <is>
          <t>2263757710002656</t>
        </is>
      </c>
      <c r="AZ63" t="inlineStr">
        <is>
          <t>BOOK</t>
        </is>
      </c>
      <c r="BC63" t="inlineStr">
        <is>
          <t>32285000954601</t>
        </is>
      </c>
      <c r="BD63" t="inlineStr">
        <is>
          <t>893620654</t>
        </is>
      </c>
    </row>
    <row r="64">
      <c r="A64" t="inlineStr">
        <is>
          <t>No</t>
        </is>
      </c>
      <c r="B64" t="inlineStr">
        <is>
          <t>NB205 .P46 1997</t>
        </is>
      </c>
      <c r="C64" t="inlineStr">
        <is>
          <t>0                      NB 0205000P  46          1997</t>
        </is>
      </c>
      <c r="D64" t="inlineStr">
        <is>
          <t>American sculpture in the Museum of American Art of the Pennsylvania Academy of the Fine Arts / by Susan James-Gadzinski and Mary Mullen Cunningham ; editors, Jacolyn A. Mott, Linda Bantel ; contributors, Theresa Z. Esperdy ... [et al.].</t>
        </is>
      </c>
      <c r="F64" t="inlineStr">
        <is>
          <t>No</t>
        </is>
      </c>
      <c r="G64" t="inlineStr">
        <is>
          <t>1</t>
        </is>
      </c>
      <c r="H64" t="inlineStr">
        <is>
          <t>No</t>
        </is>
      </c>
      <c r="I64" t="inlineStr">
        <is>
          <t>No</t>
        </is>
      </c>
      <c r="J64" t="inlineStr">
        <is>
          <t>0</t>
        </is>
      </c>
      <c r="K64" t="inlineStr">
        <is>
          <t>Pennsylvania Academy of the Fine Arts. Museum of American Art.</t>
        </is>
      </c>
      <c r="L64" t="inlineStr">
        <is>
          <t>Philadelphia, PA : Museum of American Art of the Pennsylvania Academy of the Fine Arts, c1997.</t>
        </is>
      </c>
      <c r="M64" t="inlineStr">
        <is>
          <t>1997</t>
        </is>
      </c>
      <c r="O64" t="inlineStr">
        <is>
          <t>eng</t>
        </is>
      </c>
      <c r="P64" t="inlineStr">
        <is>
          <t>pau</t>
        </is>
      </c>
      <c r="R64" t="inlineStr">
        <is>
          <t xml:space="preserve">NB </t>
        </is>
      </c>
      <c r="S64" t="n">
        <v>1</v>
      </c>
      <c r="T64" t="n">
        <v>1</v>
      </c>
      <c r="U64" t="inlineStr">
        <is>
          <t>2009-04-14</t>
        </is>
      </c>
      <c r="V64" t="inlineStr">
        <is>
          <t>2009-04-14</t>
        </is>
      </c>
      <c r="W64" t="inlineStr">
        <is>
          <t>2009-04-14</t>
        </is>
      </c>
      <c r="X64" t="inlineStr">
        <is>
          <t>2009-04-14</t>
        </is>
      </c>
      <c r="Y64" t="n">
        <v>318</v>
      </c>
      <c r="Z64" t="n">
        <v>289</v>
      </c>
      <c r="AA64" t="n">
        <v>290</v>
      </c>
      <c r="AB64" t="n">
        <v>4</v>
      </c>
      <c r="AC64" t="n">
        <v>4</v>
      </c>
      <c r="AD64" t="n">
        <v>14</v>
      </c>
      <c r="AE64" t="n">
        <v>14</v>
      </c>
      <c r="AF64" t="n">
        <v>3</v>
      </c>
      <c r="AG64" t="n">
        <v>3</v>
      </c>
      <c r="AH64" t="n">
        <v>5</v>
      </c>
      <c r="AI64" t="n">
        <v>5</v>
      </c>
      <c r="AJ64" t="n">
        <v>8</v>
      </c>
      <c r="AK64" t="n">
        <v>8</v>
      </c>
      <c r="AL64" t="n">
        <v>2</v>
      </c>
      <c r="AM64" t="n">
        <v>2</v>
      </c>
      <c r="AN64" t="n">
        <v>0</v>
      </c>
      <c r="AO64" t="n">
        <v>0</v>
      </c>
      <c r="AP64" t="inlineStr">
        <is>
          <t>No</t>
        </is>
      </c>
      <c r="AQ64" t="inlineStr">
        <is>
          <t>Yes</t>
        </is>
      </c>
      <c r="AR64">
        <f>HYPERLINK("http://catalog.hathitrust.org/Record/003969621","HathiTrust Record")</f>
        <v/>
      </c>
      <c r="AS64">
        <f>HYPERLINK("https://creighton-primo.hosted.exlibrisgroup.com/primo-explore/search?tab=default_tab&amp;search_scope=EVERYTHING&amp;vid=01CRU&amp;lang=en_US&amp;offset=0&amp;query=any,contains,991005305589702656","Catalog Record")</f>
        <v/>
      </c>
      <c r="AT64">
        <f>HYPERLINK("http://www.worldcat.org/oclc/37725474","WorldCat Record")</f>
        <v/>
      </c>
      <c r="AU64" t="inlineStr">
        <is>
          <t>605637:eng</t>
        </is>
      </c>
      <c r="AV64" t="inlineStr">
        <is>
          <t>37725474</t>
        </is>
      </c>
      <c r="AW64" t="inlineStr">
        <is>
          <t>991005305589702656</t>
        </is>
      </c>
      <c r="AX64" t="inlineStr">
        <is>
          <t>991005305589702656</t>
        </is>
      </c>
      <c r="AY64" t="inlineStr">
        <is>
          <t>2255883890002656</t>
        </is>
      </c>
      <c r="AZ64" t="inlineStr">
        <is>
          <t>BOOK</t>
        </is>
      </c>
      <c r="BB64" t="inlineStr">
        <is>
          <t>9780295976921</t>
        </is>
      </c>
      <c r="BC64" t="inlineStr">
        <is>
          <t>32285005515407</t>
        </is>
      </c>
      <c r="BD64" t="inlineStr">
        <is>
          <t>893628671</t>
        </is>
      </c>
    </row>
    <row r="65">
      <c r="A65" t="inlineStr">
        <is>
          <t>No</t>
        </is>
      </c>
      <c r="B65" t="inlineStr">
        <is>
          <t>NB205 .T86</t>
        </is>
      </c>
      <c r="C65" t="inlineStr">
        <is>
          <t>0                      NB 0205000T  86</t>
        </is>
      </c>
      <c r="D65" t="inlineStr">
        <is>
          <t>200 years of American sculpture / Tom Armstrong ... [et al.].</t>
        </is>
      </c>
      <c r="F65" t="inlineStr">
        <is>
          <t>No</t>
        </is>
      </c>
      <c r="G65" t="inlineStr">
        <is>
          <t>1</t>
        </is>
      </c>
      <c r="H65" t="inlineStr">
        <is>
          <t>No</t>
        </is>
      </c>
      <c r="I65" t="inlineStr">
        <is>
          <t>No</t>
        </is>
      </c>
      <c r="J65" t="inlineStr">
        <is>
          <t>0</t>
        </is>
      </c>
      <c r="L65" t="inlineStr">
        <is>
          <t>[Boston] : D. R. Godine, c1976.</t>
        </is>
      </c>
      <c r="M65" t="inlineStr">
        <is>
          <t>1976</t>
        </is>
      </c>
      <c r="O65" t="inlineStr">
        <is>
          <t>eng</t>
        </is>
      </c>
      <c r="P65" t="inlineStr">
        <is>
          <t>mau</t>
        </is>
      </c>
      <c r="R65" t="inlineStr">
        <is>
          <t xml:space="preserve">NB </t>
        </is>
      </c>
      <c r="S65" t="n">
        <v>4</v>
      </c>
      <c r="T65" t="n">
        <v>4</v>
      </c>
      <c r="U65" t="inlineStr">
        <is>
          <t>1997-12-03</t>
        </is>
      </c>
      <c r="V65" t="inlineStr">
        <is>
          <t>1997-12-03</t>
        </is>
      </c>
      <c r="W65" t="inlineStr">
        <is>
          <t>1991-09-16</t>
        </is>
      </c>
      <c r="X65" t="inlineStr">
        <is>
          <t>1991-09-16</t>
        </is>
      </c>
      <c r="Y65" t="n">
        <v>1362</v>
      </c>
      <c r="Z65" t="n">
        <v>1278</v>
      </c>
      <c r="AA65" t="n">
        <v>1801</v>
      </c>
      <c r="AB65" t="n">
        <v>11</v>
      </c>
      <c r="AC65" t="n">
        <v>17</v>
      </c>
      <c r="AD65" t="n">
        <v>34</v>
      </c>
      <c r="AE65" t="n">
        <v>47</v>
      </c>
      <c r="AF65" t="n">
        <v>14</v>
      </c>
      <c r="AG65" t="n">
        <v>20</v>
      </c>
      <c r="AH65" t="n">
        <v>7</v>
      </c>
      <c r="AI65" t="n">
        <v>8</v>
      </c>
      <c r="AJ65" t="n">
        <v>11</v>
      </c>
      <c r="AK65" t="n">
        <v>18</v>
      </c>
      <c r="AL65" t="n">
        <v>7</v>
      </c>
      <c r="AM65" t="n">
        <v>9</v>
      </c>
      <c r="AN65" t="n">
        <v>0</v>
      </c>
      <c r="AO65" t="n">
        <v>0</v>
      </c>
      <c r="AP65" t="inlineStr">
        <is>
          <t>No</t>
        </is>
      </c>
      <c r="AQ65" t="inlineStr">
        <is>
          <t>No</t>
        </is>
      </c>
      <c r="AS65">
        <f>HYPERLINK("https://creighton-primo.hosted.exlibrisgroup.com/primo-explore/search?tab=default_tab&amp;search_scope=EVERYTHING&amp;vid=01CRU&amp;lang=en_US&amp;offset=0&amp;query=any,contains,991004064869702656","Catalog Record")</f>
        <v/>
      </c>
      <c r="AT65">
        <f>HYPERLINK("http://www.worldcat.org/oclc/2283721","WorldCat Record")</f>
        <v/>
      </c>
      <c r="AU65" t="inlineStr">
        <is>
          <t>917617894:eng</t>
        </is>
      </c>
      <c r="AV65" t="inlineStr">
        <is>
          <t>2283721</t>
        </is>
      </c>
      <c r="AW65" t="inlineStr">
        <is>
          <t>991004064869702656</t>
        </is>
      </c>
      <c r="AX65" t="inlineStr">
        <is>
          <t>991004064869702656</t>
        </is>
      </c>
      <c r="AY65" t="inlineStr">
        <is>
          <t>2266974990002656</t>
        </is>
      </c>
      <c r="AZ65" t="inlineStr">
        <is>
          <t>BOOK</t>
        </is>
      </c>
      <c r="BB65" t="inlineStr">
        <is>
          <t>9780879231859</t>
        </is>
      </c>
      <c r="BC65" t="inlineStr">
        <is>
          <t>32285000737766</t>
        </is>
      </c>
      <c r="BD65" t="inlineStr">
        <is>
          <t>893429609</t>
        </is>
      </c>
    </row>
    <row r="66">
      <c r="A66" t="inlineStr">
        <is>
          <t>No</t>
        </is>
      </c>
      <c r="B66" t="inlineStr">
        <is>
          <t>NB210 .M48 1999</t>
        </is>
      </c>
      <c r="C66" t="inlineStr">
        <is>
          <t>0                      NB 0210000M  48          1999</t>
        </is>
      </c>
      <c r="D66" t="inlineStr">
        <is>
          <t>American sculpture in the Metropolitan Museum of Art / edited by Thayer Tolles ; catalogue by Lauretta Dimmick, Donna J. Hassler, Thayer Tolles ; photographs by Jerry L. Thompson.</t>
        </is>
      </c>
      <c r="E66" t="inlineStr">
        <is>
          <t>V. 2</t>
        </is>
      </c>
      <c r="F66" t="inlineStr">
        <is>
          <t>Yes</t>
        </is>
      </c>
      <c r="G66" t="inlineStr">
        <is>
          <t>1</t>
        </is>
      </c>
      <c r="H66" t="inlineStr">
        <is>
          <t>No</t>
        </is>
      </c>
      <c r="I66" t="inlineStr">
        <is>
          <t>No</t>
        </is>
      </c>
      <c r="J66" t="inlineStr">
        <is>
          <t>0</t>
        </is>
      </c>
      <c r="K66" t="inlineStr">
        <is>
          <t>Metropolitan Museum of Art (New York, N.Y.)</t>
        </is>
      </c>
      <c r="L66" t="inlineStr">
        <is>
          <t>New York : The Museum, c1999-c2001.</t>
        </is>
      </c>
      <c r="M66" t="inlineStr">
        <is>
          <t>1999</t>
        </is>
      </c>
      <c r="O66" t="inlineStr">
        <is>
          <t>eng</t>
        </is>
      </c>
      <c r="P66" t="inlineStr">
        <is>
          <t>nyu</t>
        </is>
      </c>
      <c r="R66" t="inlineStr">
        <is>
          <t xml:space="preserve">NB </t>
        </is>
      </c>
      <c r="S66" t="n">
        <v>1</v>
      </c>
      <c r="T66" t="n">
        <v>2</v>
      </c>
      <c r="U66" t="inlineStr">
        <is>
          <t>2009-04-14</t>
        </is>
      </c>
      <c r="V66" t="inlineStr">
        <is>
          <t>2010-11-02</t>
        </is>
      </c>
      <c r="W66" t="inlineStr">
        <is>
          <t>2009-04-14</t>
        </is>
      </c>
      <c r="X66" t="inlineStr">
        <is>
          <t>2010-11-02</t>
        </is>
      </c>
      <c r="Y66" t="n">
        <v>482</v>
      </c>
      <c r="Z66" t="n">
        <v>437</v>
      </c>
      <c r="AA66" t="n">
        <v>477</v>
      </c>
      <c r="AB66" t="n">
        <v>4</v>
      </c>
      <c r="AC66" t="n">
        <v>4</v>
      </c>
      <c r="AD66" t="n">
        <v>15</v>
      </c>
      <c r="AE66" t="n">
        <v>15</v>
      </c>
      <c r="AF66" t="n">
        <v>3</v>
      </c>
      <c r="AG66" t="n">
        <v>3</v>
      </c>
      <c r="AH66" t="n">
        <v>4</v>
      </c>
      <c r="AI66" t="n">
        <v>4</v>
      </c>
      <c r="AJ66" t="n">
        <v>9</v>
      </c>
      <c r="AK66" t="n">
        <v>9</v>
      </c>
      <c r="AL66" t="n">
        <v>3</v>
      </c>
      <c r="AM66" t="n">
        <v>3</v>
      </c>
      <c r="AN66" t="n">
        <v>0</v>
      </c>
      <c r="AO66" t="n">
        <v>0</v>
      </c>
      <c r="AP66" t="inlineStr">
        <is>
          <t>No</t>
        </is>
      </c>
      <c r="AQ66" t="inlineStr">
        <is>
          <t>Yes</t>
        </is>
      </c>
      <c r="AR66">
        <f>HYPERLINK("http://catalog.hathitrust.org/Record/004133782","HathiTrust Record")</f>
        <v/>
      </c>
      <c r="AS66">
        <f>HYPERLINK("https://creighton-primo.hosted.exlibrisgroup.com/primo-explore/search?tab=default_tab&amp;search_scope=EVERYTHING&amp;vid=01CRU&amp;lang=en_US&amp;offset=0&amp;query=any,contains,991005305529702656","Catalog Record")</f>
        <v/>
      </c>
      <c r="AT66">
        <f>HYPERLINK("http://www.worldcat.org/oclc/41096146","WorldCat Record")</f>
        <v/>
      </c>
      <c r="AU66" t="inlineStr">
        <is>
          <t>8908806308:eng</t>
        </is>
      </c>
      <c r="AV66" t="inlineStr">
        <is>
          <t>41096146</t>
        </is>
      </c>
      <c r="AW66" t="inlineStr">
        <is>
          <t>991005305529702656</t>
        </is>
      </c>
      <c r="AX66" t="inlineStr">
        <is>
          <t>991005305529702656</t>
        </is>
      </c>
      <c r="AY66" t="inlineStr">
        <is>
          <t>2265406030002656</t>
        </is>
      </c>
      <c r="AZ66" t="inlineStr">
        <is>
          <t>BOOK</t>
        </is>
      </c>
      <c r="BB66" t="inlineStr">
        <is>
          <t>9780300088472</t>
        </is>
      </c>
      <c r="BC66" t="inlineStr">
        <is>
          <t>32285005515258</t>
        </is>
      </c>
      <c r="BD66" t="inlineStr">
        <is>
          <t>893242518</t>
        </is>
      </c>
    </row>
    <row r="67">
      <c r="A67" t="inlineStr">
        <is>
          <t>No</t>
        </is>
      </c>
      <c r="B67" t="inlineStr">
        <is>
          <t>NB210 .M48 1999</t>
        </is>
      </c>
      <c r="C67" t="inlineStr">
        <is>
          <t>0                      NB 0210000M  48          1999</t>
        </is>
      </c>
      <c r="D67" t="inlineStr">
        <is>
          <t>American sculpture in the Metropolitan Museum of Art / edited by Thayer Tolles ; catalogue by Lauretta Dimmick, Donna J. Hassler, Thayer Tolles ; photographs by Jerry L. Thompson.</t>
        </is>
      </c>
      <c r="E67" t="inlineStr">
        <is>
          <t>V. 1</t>
        </is>
      </c>
      <c r="F67" t="inlineStr">
        <is>
          <t>Yes</t>
        </is>
      </c>
      <c r="G67" t="inlineStr">
        <is>
          <t>1</t>
        </is>
      </c>
      <c r="H67" t="inlineStr">
        <is>
          <t>No</t>
        </is>
      </c>
      <c r="I67" t="inlineStr">
        <is>
          <t>No</t>
        </is>
      </c>
      <c r="J67" t="inlineStr">
        <is>
          <t>0</t>
        </is>
      </c>
      <c r="K67" t="inlineStr">
        <is>
          <t>Metropolitan Museum of Art (New York, N.Y.)</t>
        </is>
      </c>
      <c r="L67" t="inlineStr">
        <is>
          <t>New York : The Museum, c1999-c2001.</t>
        </is>
      </c>
      <c r="M67" t="inlineStr">
        <is>
          <t>1999</t>
        </is>
      </c>
      <c r="O67" t="inlineStr">
        <is>
          <t>eng</t>
        </is>
      </c>
      <c r="P67" t="inlineStr">
        <is>
          <t>nyu</t>
        </is>
      </c>
      <c r="R67" t="inlineStr">
        <is>
          <t xml:space="preserve">NB </t>
        </is>
      </c>
      <c r="S67" t="n">
        <v>1</v>
      </c>
      <c r="T67" t="n">
        <v>2</v>
      </c>
      <c r="U67" t="inlineStr">
        <is>
          <t>2010-11-02</t>
        </is>
      </c>
      <c r="V67" t="inlineStr">
        <is>
          <t>2010-11-02</t>
        </is>
      </c>
      <c r="W67" t="inlineStr">
        <is>
          <t>2010-11-02</t>
        </is>
      </c>
      <c r="X67" t="inlineStr">
        <is>
          <t>2010-11-02</t>
        </is>
      </c>
      <c r="Y67" t="n">
        <v>482</v>
      </c>
      <c r="Z67" t="n">
        <v>437</v>
      </c>
      <c r="AA67" t="n">
        <v>477</v>
      </c>
      <c r="AB67" t="n">
        <v>4</v>
      </c>
      <c r="AC67" t="n">
        <v>4</v>
      </c>
      <c r="AD67" t="n">
        <v>15</v>
      </c>
      <c r="AE67" t="n">
        <v>15</v>
      </c>
      <c r="AF67" t="n">
        <v>3</v>
      </c>
      <c r="AG67" t="n">
        <v>3</v>
      </c>
      <c r="AH67" t="n">
        <v>4</v>
      </c>
      <c r="AI67" t="n">
        <v>4</v>
      </c>
      <c r="AJ67" t="n">
        <v>9</v>
      </c>
      <c r="AK67" t="n">
        <v>9</v>
      </c>
      <c r="AL67" t="n">
        <v>3</v>
      </c>
      <c r="AM67" t="n">
        <v>3</v>
      </c>
      <c r="AN67" t="n">
        <v>0</v>
      </c>
      <c r="AO67" t="n">
        <v>0</v>
      </c>
      <c r="AP67" t="inlineStr">
        <is>
          <t>No</t>
        </is>
      </c>
      <c r="AQ67" t="inlineStr">
        <is>
          <t>Yes</t>
        </is>
      </c>
      <c r="AR67">
        <f>HYPERLINK("http://catalog.hathitrust.org/Record/004133782","HathiTrust Record")</f>
        <v/>
      </c>
      <c r="AS67">
        <f>HYPERLINK("https://creighton-primo.hosted.exlibrisgroup.com/primo-explore/search?tab=default_tab&amp;search_scope=EVERYTHING&amp;vid=01CRU&amp;lang=en_US&amp;offset=0&amp;query=any,contains,991005305529702656","Catalog Record")</f>
        <v/>
      </c>
      <c r="AT67">
        <f>HYPERLINK("http://www.worldcat.org/oclc/41096146","WorldCat Record")</f>
        <v/>
      </c>
      <c r="AU67" t="inlineStr">
        <is>
          <t>8908806308:eng</t>
        </is>
      </c>
      <c r="AV67" t="inlineStr">
        <is>
          <t>41096146</t>
        </is>
      </c>
      <c r="AW67" t="inlineStr">
        <is>
          <t>991005305529702656</t>
        </is>
      </c>
      <c r="AX67" t="inlineStr">
        <is>
          <t>991005305529702656</t>
        </is>
      </c>
      <c r="AY67" t="inlineStr">
        <is>
          <t>2265406030002656</t>
        </is>
      </c>
      <c r="AZ67" t="inlineStr">
        <is>
          <t>BOOK</t>
        </is>
      </c>
      <c r="BB67" t="inlineStr">
        <is>
          <t>9780300088472</t>
        </is>
      </c>
      <c r="BC67" t="inlineStr">
        <is>
          <t>32285005604300</t>
        </is>
      </c>
      <c r="BD67" t="inlineStr">
        <is>
          <t>893230508</t>
        </is>
      </c>
    </row>
    <row r="68">
      <c r="A68" t="inlineStr">
        <is>
          <t>No</t>
        </is>
      </c>
      <c r="B68" t="inlineStr">
        <is>
          <t>NB212 .R62</t>
        </is>
      </c>
      <c r="C68" t="inlineStr">
        <is>
          <t>0                      NB 0212000R  62</t>
        </is>
      </c>
      <c r="D68" t="inlineStr">
        <is>
          <t>Outdoor sculpture : object and environment / by Margaret A. Robinette.</t>
        </is>
      </c>
      <c r="F68" t="inlineStr">
        <is>
          <t>No</t>
        </is>
      </c>
      <c r="G68" t="inlineStr">
        <is>
          <t>1</t>
        </is>
      </c>
      <c r="H68" t="inlineStr">
        <is>
          <t>No</t>
        </is>
      </c>
      <c r="I68" t="inlineStr">
        <is>
          <t>No</t>
        </is>
      </c>
      <c r="J68" t="inlineStr">
        <is>
          <t>0</t>
        </is>
      </c>
      <c r="K68" t="inlineStr">
        <is>
          <t>Robinette, Margaret A., 1932-</t>
        </is>
      </c>
      <c r="L68" t="inlineStr">
        <is>
          <t>New York : Whitney Library of Design, 1976.</t>
        </is>
      </c>
      <c r="M68" t="inlineStr">
        <is>
          <t>1976</t>
        </is>
      </c>
      <c r="O68" t="inlineStr">
        <is>
          <t>eng</t>
        </is>
      </c>
      <c r="P68" t="inlineStr">
        <is>
          <t>nyu</t>
        </is>
      </c>
      <c r="R68" t="inlineStr">
        <is>
          <t xml:space="preserve">NB </t>
        </is>
      </c>
      <c r="S68" t="n">
        <v>1</v>
      </c>
      <c r="T68" t="n">
        <v>1</v>
      </c>
      <c r="U68" t="inlineStr">
        <is>
          <t>2002-04-18</t>
        </is>
      </c>
      <c r="V68" t="inlineStr">
        <is>
          <t>2002-04-18</t>
        </is>
      </c>
      <c r="W68" t="inlineStr">
        <is>
          <t>1997-07-03</t>
        </is>
      </c>
      <c r="X68" t="inlineStr">
        <is>
          <t>1997-07-03</t>
        </is>
      </c>
      <c r="Y68" t="n">
        <v>804</v>
      </c>
      <c r="Z68" t="n">
        <v>703</v>
      </c>
      <c r="AA68" t="n">
        <v>719</v>
      </c>
      <c r="AB68" t="n">
        <v>12</v>
      </c>
      <c r="AC68" t="n">
        <v>12</v>
      </c>
      <c r="AD68" t="n">
        <v>27</v>
      </c>
      <c r="AE68" t="n">
        <v>27</v>
      </c>
      <c r="AF68" t="n">
        <v>11</v>
      </c>
      <c r="AG68" t="n">
        <v>11</v>
      </c>
      <c r="AH68" t="n">
        <v>4</v>
      </c>
      <c r="AI68" t="n">
        <v>4</v>
      </c>
      <c r="AJ68" t="n">
        <v>6</v>
      </c>
      <c r="AK68" t="n">
        <v>6</v>
      </c>
      <c r="AL68" t="n">
        <v>9</v>
      </c>
      <c r="AM68" t="n">
        <v>9</v>
      </c>
      <c r="AN68" t="n">
        <v>0</v>
      </c>
      <c r="AO68" t="n">
        <v>0</v>
      </c>
      <c r="AP68" t="inlineStr">
        <is>
          <t>No</t>
        </is>
      </c>
      <c r="AQ68" t="inlineStr">
        <is>
          <t>Yes</t>
        </is>
      </c>
      <c r="AR68">
        <f>HYPERLINK("http://catalog.hathitrust.org/Record/000693225","HathiTrust Record")</f>
        <v/>
      </c>
      <c r="AS68">
        <f>HYPERLINK("https://creighton-primo.hosted.exlibrisgroup.com/primo-explore/search?tab=default_tab&amp;search_scope=EVERYTHING&amp;vid=01CRU&amp;lang=en_US&amp;offset=0&amp;query=any,contains,991003914669702656","Catalog Record")</f>
        <v/>
      </c>
      <c r="AT68">
        <f>HYPERLINK("http://www.worldcat.org/oclc/1858319","WorldCat Record")</f>
        <v/>
      </c>
      <c r="AU68" t="inlineStr">
        <is>
          <t>2628798:eng</t>
        </is>
      </c>
      <c r="AV68" t="inlineStr">
        <is>
          <t>1858319</t>
        </is>
      </c>
      <c r="AW68" t="inlineStr">
        <is>
          <t>991003914669702656</t>
        </is>
      </c>
      <c r="AX68" t="inlineStr">
        <is>
          <t>991003914669702656</t>
        </is>
      </c>
      <c r="AY68" t="inlineStr">
        <is>
          <t>2266816210002656</t>
        </is>
      </c>
      <c r="AZ68" t="inlineStr">
        <is>
          <t>BOOK</t>
        </is>
      </c>
      <c r="BB68" t="inlineStr">
        <is>
          <t>9780823074068</t>
        </is>
      </c>
      <c r="BC68" t="inlineStr">
        <is>
          <t>32285002863594</t>
        </is>
      </c>
      <c r="BD68" t="inlineStr">
        <is>
          <t>893617992</t>
        </is>
      </c>
    </row>
    <row r="69">
      <c r="A69" t="inlineStr">
        <is>
          <t>No</t>
        </is>
      </c>
      <c r="B69" t="inlineStr">
        <is>
          <t>NB212 .S36 1988</t>
        </is>
      </c>
      <c r="C69" t="inlineStr">
        <is>
          <t>0                      NB 0212000S  36          1988</t>
        </is>
      </c>
      <c r="D69" t="inlineStr">
        <is>
          <t>Sculpture inside outside / introduction by Martin Friedman ; essays by Douglas Dreishpoon ... [et al.] ; profiles of the artists, Peter W. Boswell, Donna Harkavy.</t>
        </is>
      </c>
      <c r="F69" t="inlineStr">
        <is>
          <t>No</t>
        </is>
      </c>
      <c r="G69" t="inlineStr">
        <is>
          <t>1</t>
        </is>
      </c>
      <c r="H69" t="inlineStr">
        <is>
          <t>No</t>
        </is>
      </c>
      <c r="I69" t="inlineStr">
        <is>
          <t>No</t>
        </is>
      </c>
      <c r="J69" t="inlineStr">
        <is>
          <t>0</t>
        </is>
      </c>
      <c r="L69" t="inlineStr">
        <is>
          <t>Minneapolis : Walker Art Center ; New York : Rizzoli, 1988.</t>
        </is>
      </c>
      <c r="M69" t="inlineStr">
        <is>
          <t>1988</t>
        </is>
      </c>
      <c r="O69" t="inlineStr">
        <is>
          <t>eng</t>
        </is>
      </c>
      <c r="P69" t="inlineStr">
        <is>
          <t>mnu</t>
        </is>
      </c>
      <c r="R69" t="inlineStr">
        <is>
          <t xml:space="preserve">NB </t>
        </is>
      </c>
      <c r="S69" t="n">
        <v>10</v>
      </c>
      <c r="T69" t="n">
        <v>10</v>
      </c>
      <c r="U69" t="inlineStr">
        <is>
          <t>1997-08-27</t>
        </is>
      </c>
      <c r="V69" t="inlineStr">
        <is>
          <t>1997-08-27</t>
        </is>
      </c>
      <c r="W69" t="inlineStr">
        <is>
          <t>1989-11-16</t>
        </is>
      </c>
      <c r="X69" t="inlineStr">
        <is>
          <t>1989-11-16</t>
        </is>
      </c>
      <c r="Y69" t="n">
        <v>490</v>
      </c>
      <c r="Z69" t="n">
        <v>412</v>
      </c>
      <c r="AA69" t="n">
        <v>420</v>
      </c>
      <c r="AB69" t="n">
        <v>3</v>
      </c>
      <c r="AC69" t="n">
        <v>3</v>
      </c>
      <c r="AD69" t="n">
        <v>8</v>
      </c>
      <c r="AE69" t="n">
        <v>8</v>
      </c>
      <c r="AF69" t="n">
        <v>1</v>
      </c>
      <c r="AG69" t="n">
        <v>1</v>
      </c>
      <c r="AH69" t="n">
        <v>3</v>
      </c>
      <c r="AI69" t="n">
        <v>3</v>
      </c>
      <c r="AJ69" t="n">
        <v>4</v>
      </c>
      <c r="AK69" t="n">
        <v>4</v>
      </c>
      <c r="AL69" t="n">
        <v>1</v>
      </c>
      <c r="AM69" t="n">
        <v>1</v>
      </c>
      <c r="AN69" t="n">
        <v>0</v>
      </c>
      <c r="AO69" t="n">
        <v>0</v>
      </c>
      <c r="AP69" t="inlineStr">
        <is>
          <t>No</t>
        </is>
      </c>
      <c r="AQ69" t="inlineStr">
        <is>
          <t>Yes</t>
        </is>
      </c>
      <c r="AR69">
        <f>HYPERLINK("http://catalog.hathitrust.org/Record/001085923","HathiTrust Record")</f>
        <v/>
      </c>
      <c r="AS69">
        <f>HYPERLINK("https://creighton-primo.hosted.exlibrisgroup.com/primo-explore/search?tab=default_tab&amp;search_scope=EVERYTHING&amp;vid=01CRU&amp;lang=en_US&amp;offset=0&amp;query=any,contains,991001348079702656","Catalog Record")</f>
        <v/>
      </c>
      <c r="AT69">
        <f>HYPERLINK("http://www.worldcat.org/oclc/18417469","WorldCat Record")</f>
        <v/>
      </c>
      <c r="AU69" t="inlineStr">
        <is>
          <t>374823124:eng</t>
        </is>
      </c>
      <c r="AV69" t="inlineStr">
        <is>
          <t>18417469</t>
        </is>
      </c>
      <c r="AW69" t="inlineStr">
        <is>
          <t>991001348079702656</t>
        </is>
      </c>
      <c r="AX69" t="inlineStr">
        <is>
          <t>991001348079702656</t>
        </is>
      </c>
      <c r="AY69" t="inlineStr">
        <is>
          <t>2258787350002656</t>
        </is>
      </c>
      <c r="AZ69" t="inlineStr">
        <is>
          <t>BOOK</t>
        </is>
      </c>
      <c r="BB69" t="inlineStr">
        <is>
          <t>9780847810055</t>
        </is>
      </c>
      <c r="BC69" t="inlineStr">
        <is>
          <t>32285000013663</t>
        </is>
      </c>
      <c r="BD69" t="inlineStr">
        <is>
          <t>893797502</t>
        </is>
      </c>
    </row>
    <row r="70">
      <c r="A70" t="inlineStr">
        <is>
          <t>No</t>
        </is>
      </c>
      <c r="B70" t="inlineStr">
        <is>
          <t>NB212 .T8</t>
        </is>
      </c>
      <c r="C70" t="inlineStr">
        <is>
          <t>0                      NB 0212000T  8</t>
        </is>
      </c>
      <c r="D70" t="inlineStr">
        <is>
          <t>American sculpture of the sixties / exhibition selected and book-catalog edited by Maurice Tuchman. Sponsored by the Contemporary Art Council.</t>
        </is>
      </c>
      <c r="F70" t="inlineStr">
        <is>
          <t>No</t>
        </is>
      </c>
      <c r="G70" t="inlineStr">
        <is>
          <t>1</t>
        </is>
      </c>
      <c r="H70" t="inlineStr">
        <is>
          <t>No</t>
        </is>
      </c>
      <c r="I70" t="inlineStr">
        <is>
          <t>No</t>
        </is>
      </c>
      <c r="J70" t="inlineStr">
        <is>
          <t>0</t>
        </is>
      </c>
      <c r="K70" t="inlineStr">
        <is>
          <t>Tuchman, Maurice.</t>
        </is>
      </c>
      <c r="M70" t="inlineStr">
        <is>
          <t>1967</t>
        </is>
      </c>
      <c r="O70" t="inlineStr">
        <is>
          <t>eng</t>
        </is>
      </c>
      <c r="P70" t="inlineStr">
        <is>
          <t>cau</t>
        </is>
      </c>
      <c r="R70" t="inlineStr">
        <is>
          <t xml:space="preserve">NB </t>
        </is>
      </c>
      <c r="S70" t="n">
        <v>5</v>
      </c>
      <c r="T70" t="n">
        <v>5</v>
      </c>
      <c r="U70" t="inlineStr">
        <is>
          <t>1993-04-15</t>
        </is>
      </c>
      <c r="V70" t="inlineStr">
        <is>
          <t>1993-04-15</t>
        </is>
      </c>
      <c r="W70" t="inlineStr">
        <is>
          <t>1992-12-02</t>
        </is>
      </c>
      <c r="X70" t="inlineStr">
        <is>
          <t>1992-12-02</t>
        </is>
      </c>
      <c r="Y70" t="n">
        <v>1049</v>
      </c>
      <c r="Z70" t="n">
        <v>942</v>
      </c>
      <c r="AA70" t="n">
        <v>959</v>
      </c>
      <c r="AB70" t="n">
        <v>5</v>
      </c>
      <c r="AC70" t="n">
        <v>5</v>
      </c>
      <c r="AD70" t="n">
        <v>31</v>
      </c>
      <c r="AE70" t="n">
        <v>31</v>
      </c>
      <c r="AF70" t="n">
        <v>16</v>
      </c>
      <c r="AG70" t="n">
        <v>16</v>
      </c>
      <c r="AH70" t="n">
        <v>5</v>
      </c>
      <c r="AI70" t="n">
        <v>5</v>
      </c>
      <c r="AJ70" t="n">
        <v>12</v>
      </c>
      <c r="AK70" t="n">
        <v>12</v>
      </c>
      <c r="AL70" t="n">
        <v>4</v>
      </c>
      <c r="AM70" t="n">
        <v>4</v>
      </c>
      <c r="AN70" t="n">
        <v>0</v>
      </c>
      <c r="AO70" t="n">
        <v>0</v>
      </c>
      <c r="AP70" t="inlineStr">
        <is>
          <t>No</t>
        </is>
      </c>
      <c r="AQ70" t="inlineStr">
        <is>
          <t>Yes</t>
        </is>
      </c>
      <c r="AR70">
        <f>HYPERLINK("http://catalog.hathitrust.org/Record/001461611","HathiTrust Record")</f>
        <v/>
      </c>
      <c r="AS70">
        <f>HYPERLINK("https://creighton-primo.hosted.exlibrisgroup.com/primo-explore/search?tab=default_tab&amp;search_scope=EVERYTHING&amp;vid=01CRU&amp;lang=en_US&amp;offset=0&amp;query=any,contains,991000943049702656","Catalog Record")</f>
        <v/>
      </c>
      <c r="AT70">
        <f>HYPERLINK("http://www.worldcat.org/oclc/166545","WorldCat Record")</f>
        <v/>
      </c>
      <c r="AU70" t="inlineStr">
        <is>
          <t>3855931156:eng</t>
        </is>
      </c>
      <c r="AV70" t="inlineStr">
        <is>
          <t>166545</t>
        </is>
      </c>
      <c r="AW70" t="inlineStr">
        <is>
          <t>991000943049702656</t>
        </is>
      </c>
      <c r="AX70" t="inlineStr">
        <is>
          <t>991000943049702656</t>
        </is>
      </c>
      <c r="AY70" t="inlineStr">
        <is>
          <t>2271346920002656</t>
        </is>
      </c>
      <c r="AZ70" t="inlineStr">
        <is>
          <t>BOOK</t>
        </is>
      </c>
      <c r="BC70" t="inlineStr">
        <is>
          <t>32285001411106</t>
        </is>
      </c>
      <c r="BD70" t="inlineStr">
        <is>
          <t>893778412</t>
        </is>
      </c>
    </row>
    <row r="71">
      <c r="A71" t="inlineStr">
        <is>
          <t>No</t>
        </is>
      </c>
      <c r="B71" t="inlineStr">
        <is>
          <t>NB212 .W244 1989</t>
        </is>
      </c>
      <c r="C71" t="inlineStr">
        <is>
          <t>0                      NB 0212000W  244         1989</t>
        </is>
      </c>
      <c r="D71" t="inlineStr">
        <is>
          <t>Site + sculpture : the collaborative design process / Kay Wagenknecht-Harte.</t>
        </is>
      </c>
      <c r="F71" t="inlineStr">
        <is>
          <t>No</t>
        </is>
      </c>
      <c r="G71" t="inlineStr">
        <is>
          <t>1</t>
        </is>
      </c>
      <c r="H71" t="inlineStr">
        <is>
          <t>No</t>
        </is>
      </c>
      <c r="I71" t="inlineStr">
        <is>
          <t>No</t>
        </is>
      </c>
      <c r="J71" t="inlineStr">
        <is>
          <t>0</t>
        </is>
      </c>
      <c r="K71" t="inlineStr">
        <is>
          <t>Wagenknecht-Harte, Kay, 1951-</t>
        </is>
      </c>
      <c r="L71" t="inlineStr">
        <is>
          <t>New York : Van Nostrand Reinhold, c1989.</t>
        </is>
      </c>
      <c r="M71" t="inlineStr">
        <is>
          <t>1989</t>
        </is>
      </c>
      <c r="O71" t="inlineStr">
        <is>
          <t>eng</t>
        </is>
      </c>
      <c r="P71" t="inlineStr">
        <is>
          <t>nyu</t>
        </is>
      </c>
      <c r="R71" t="inlineStr">
        <is>
          <t xml:space="preserve">NB </t>
        </is>
      </c>
      <c r="S71" t="n">
        <v>4</v>
      </c>
      <c r="T71" t="n">
        <v>4</v>
      </c>
      <c r="U71" t="inlineStr">
        <is>
          <t>2002-04-18</t>
        </is>
      </c>
      <c r="V71" t="inlineStr">
        <is>
          <t>2002-04-18</t>
        </is>
      </c>
      <c r="W71" t="inlineStr">
        <is>
          <t>1990-01-09</t>
        </is>
      </c>
      <c r="X71" t="inlineStr">
        <is>
          <t>1990-01-09</t>
        </is>
      </c>
      <c r="Y71" t="n">
        <v>310</v>
      </c>
      <c r="Z71" t="n">
        <v>258</v>
      </c>
      <c r="AA71" t="n">
        <v>260</v>
      </c>
      <c r="AB71" t="n">
        <v>2</v>
      </c>
      <c r="AC71" t="n">
        <v>2</v>
      </c>
      <c r="AD71" t="n">
        <v>6</v>
      </c>
      <c r="AE71" t="n">
        <v>6</v>
      </c>
      <c r="AF71" t="n">
        <v>4</v>
      </c>
      <c r="AG71" t="n">
        <v>4</v>
      </c>
      <c r="AH71" t="n">
        <v>0</v>
      </c>
      <c r="AI71" t="n">
        <v>0</v>
      </c>
      <c r="AJ71" t="n">
        <v>1</v>
      </c>
      <c r="AK71" t="n">
        <v>1</v>
      </c>
      <c r="AL71" t="n">
        <v>1</v>
      </c>
      <c r="AM71" t="n">
        <v>1</v>
      </c>
      <c r="AN71" t="n">
        <v>0</v>
      </c>
      <c r="AO71" t="n">
        <v>0</v>
      </c>
      <c r="AP71" t="inlineStr">
        <is>
          <t>No</t>
        </is>
      </c>
      <c r="AQ71" t="inlineStr">
        <is>
          <t>Yes</t>
        </is>
      </c>
      <c r="AR71">
        <f>HYPERLINK("http://catalog.hathitrust.org/Record/001537245","HathiTrust Record")</f>
        <v/>
      </c>
      <c r="AS71">
        <f>HYPERLINK("https://creighton-primo.hosted.exlibrisgroup.com/primo-explore/search?tab=default_tab&amp;search_scope=EVERYTHING&amp;vid=01CRU&amp;lang=en_US&amp;offset=0&amp;query=any,contains,991001350579702656","Catalog Record")</f>
        <v/>
      </c>
      <c r="AT71">
        <f>HYPERLINK("http://www.worldcat.org/oclc/18441652","WorldCat Record")</f>
        <v/>
      </c>
      <c r="AU71" t="inlineStr">
        <is>
          <t>371676320:eng</t>
        </is>
      </c>
      <c r="AV71" t="inlineStr">
        <is>
          <t>18441652</t>
        </is>
      </c>
      <c r="AW71" t="inlineStr">
        <is>
          <t>991001350579702656</t>
        </is>
      </c>
      <c r="AX71" t="inlineStr">
        <is>
          <t>991001350579702656</t>
        </is>
      </c>
      <c r="AY71" t="inlineStr">
        <is>
          <t>2269067190002656</t>
        </is>
      </c>
      <c r="AZ71" t="inlineStr">
        <is>
          <t>BOOK</t>
        </is>
      </c>
      <c r="BB71" t="inlineStr">
        <is>
          <t>9780914886457</t>
        </is>
      </c>
      <c r="BC71" t="inlineStr">
        <is>
          <t>32285000026988</t>
        </is>
      </c>
      <c r="BD71" t="inlineStr">
        <is>
          <t>893866162</t>
        </is>
      </c>
    </row>
    <row r="72">
      <c r="A72" t="inlineStr">
        <is>
          <t>No</t>
        </is>
      </c>
      <c r="B72" t="inlineStr">
        <is>
          <t>NB212 .W37 1986</t>
        </is>
      </c>
      <c r="C72" t="inlineStr">
        <is>
          <t>0                      NB 0212000W  37          1986</t>
        </is>
      </c>
      <c r="D72" t="inlineStr">
        <is>
          <t>Contemporary American women sculptors / Virginia Watson-Jones.</t>
        </is>
      </c>
      <c r="F72" t="inlineStr">
        <is>
          <t>No</t>
        </is>
      </c>
      <c r="G72" t="inlineStr">
        <is>
          <t>1</t>
        </is>
      </c>
      <c r="H72" t="inlineStr">
        <is>
          <t>No</t>
        </is>
      </c>
      <c r="I72" t="inlineStr">
        <is>
          <t>No</t>
        </is>
      </c>
      <c r="J72" t="inlineStr">
        <is>
          <t>0</t>
        </is>
      </c>
      <c r="K72" t="inlineStr">
        <is>
          <t>Watson-Jones, Virginia.</t>
        </is>
      </c>
      <c r="L72" t="inlineStr">
        <is>
          <t>Phoenix, AZ : Oryx, 1986.</t>
        </is>
      </c>
      <c r="M72" t="inlineStr">
        <is>
          <t>1986</t>
        </is>
      </c>
      <c r="O72" t="inlineStr">
        <is>
          <t>eng</t>
        </is>
      </c>
      <c r="P72" t="inlineStr">
        <is>
          <t>azu</t>
        </is>
      </c>
      <c r="R72" t="inlineStr">
        <is>
          <t xml:space="preserve">NB </t>
        </is>
      </c>
      <c r="S72" t="n">
        <v>9</v>
      </c>
      <c r="T72" t="n">
        <v>9</v>
      </c>
      <c r="U72" t="inlineStr">
        <is>
          <t>2005-04-19</t>
        </is>
      </c>
      <c r="V72" t="inlineStr">
        <is>
          <t>2005-04-19</t>
        </is>
      </c>
      <c r="W72" t="inlineStr">
        <is>
          <t>1993-05-18</t>
        </is>
      </c>
      <c r="X72" t="inlineStr">
        <is>
          <t>1993-05-18</t>
        </is>
      </c>
      <c r="Y72" t="n">
        <v>661</v>
      </c>
      <c r="Z72" t="n">
        <v>584</v>
      </c>
      <c r="AA72" t="n">
        <v>588</v>
      </c>
      <c r="AB72" t="n">
        <v>4</v>
      </c>
      <c r="AC72" t="n">
        <v>4</v>
      </c>
      <c r="AD72" t="n">
        <v>13</v>
      </c>
      <c r="AE72" t="n">
        <v>13</v>
      </c>
      <c r="AF72" t="n">
        <v>3</v>
      </c>
      <c r="AG72" t="n">
        <v>3</v>
      </c>
      <c r="AH72" t="n">
        <v>5</v>
      </c>
      <c r="AI72" t="n">
        <v>5</v>
      </c>
      <c r="AJ72" t="n">
        <v>6</v>
      </c>
      <c r="AK72" t="n">
        <v>6</v>
      </c>
      <c r="AL72" t="n">
        <v>2</v>
      </c>
      <c r="AM72" t="n">
        <v>2</v>
      </c>
      <c r="AN72" t="n">
        <v>0</v>
      </c>
      <c r="AO72" t="n">
        <v>0</v>
      </c>
      <c r="AP72" t="inlineStr">
        <is>
          <t>No</t>
        </is>
      </c>
      <c r="AQ72" t="inlineStr">
        <is>
          <t>Yes</t>
        </is>
      </c>
      <c r="AR72">
        <f>HYPERLINK("http://catalog.hathitrust.org/Record/000472828","HathiTrust Record")</f>
        <v/>
      </c>
      <c r="AS72">
        <f>HYPERLINK("https://creighton-primo.hosted.exlibrisgroup.com/primo-explore/search?tab=default_tab&amp;search_scope=EVERYTHING&amp;vid=01CRU&amp;lang=en_US&amp;offset=0&amp;query=any,contains,991000749579702656","Catalog Record")</f>
        <v/>
      </c>
      <c r="AT72">
        <f>HYPERLINK("http://www.worldcat.org/oclc/12907559","WorldCat Record")</f>
        <v/>
      </c>
      <c r="AU72" t="inlineStr">
        <is>
          <t>2883285:eng</t>
        </is>
      </c>
      <c r="AV72" t="inlineStr">
        <is>
          <t>12907559</t>
        </is>
      </c>
      <c r="AW72" t="inlineStr">
        <is>
          <t>991000749579702656</t>
        </is>
      </c>
      <c r="AX72" t="inlineStr">
        <is>
          <t>991000749579702656</t>
        </is>
      </c>
      <c r="AY72" t="inlineStr">
        <is>
          <t>2257664320002656</t>
        </is>
      </c>
      <c r="AZ72" t="inlineStr">
        <is>
          <t>BOOK</t>
        </is>
      </c>
      <c r="BB72" t="inlineStr">
        <is>
          <t>9780897741392</t>
        </is>
      </c>
      <c r="BC72" t="inlineStr">
        <is>
          <t>32285001659209</t>
        </is>
      </c>
      <c r="BD72" t="inlineStr">
        <is>
          <t>893249639</t>
        </is>
      </c>
    </row>
    <row r="73">
      <c r="A73" t="inlineStr">
        <is>
          <t>No</t>
        </is>
      </c>
      <c r="B73" t="inlineStr">
        <is>
          <t>NB237.B355 P35 2003</t>
        </is>
      </c>
      <c r="C73" t="inlineStr">
        <is>
          <t>0                      NB 0237000B  355                P  35          2003</t>
        </is>
      </c>
      <c r="D73" t="inlineStr">
        <is>
          <t>Bill Barrett : evolution of a sculptor / Philip F. Palmedo.</t>
        </is>
      </c>
      <c r="F73" t="inlineStr">
        <is>
          <t>No</t>
        </is>
      </c>
      <c r="G73" t="inlineStr">
        <is>
          <t>1</t>
        </is>
      </c>
      <c r="H73" t="inlineStr">
        <is>
          <t>No</t>
        </is>
      </c>
      <c r="I73" t="inlineStr">
        <is>
          <t>No</t>
        </is>
      </c>
      <c r="J73" t="inlineStr">
        <is>
          <t>0</t>
        </is>
      </c>
      <c r="K73" t="inlineStr">
        <is>
          <t>Palmedo, Philip F.</t>
        </is>
      </c>
      <c r="L73" t="inlineStr">
        <is>
          <t>New York : Hudson Hills ; [Lanham, Md.?] : Distributed in the United States by National Book Network, c2003.</t>
        </is>
      </c>
      <c r="M73" t="inlineStr">
        <is>
          <t>2003</t>
        </is>
      </c>
      <c r="N73" t="inlineStr">
        <is>
          <t>1st ed.</t>
        </is>
      </c>
      <c r="O73" t="inlineStr">
        <is>
          <t>eng</t>
        </is>
      </c>
      <c r="P73" t="inlineStr">
        <is>
          <t>nyu</t>
        </is>
      </c>
      <c r="R73" t="inlineStr">
        <is>
          <t xml:space="preserve">NB </t>
        </is>
      </c>
      <c r="S73" t="n">
        <v>1</v>
      </c>
      <c r="T73" t="n">
        <v>1</v>
      </c>
      <c r="U73" t="inlineStr">
        <is>
          <t>2005-05-25</t>
        </is>
      </c>
      <c r="V73" t="inlineStr">
        <is>
          <t>2005-05-25</t>
        </is>
      </c>
      <c r="W73" t="inlineStr">
        <is>
          <t>2005-05-25</t>
        </is>
      </c>
      <c r="X73" t="inlineStr">
        <is>
          <t>2005-05-25</t>
        </is>
      </c>
      <c r="Y73" t="n">
        <v>449</v>
      </c>
      <c r="Z73" t="n">
        <v>407</v>
      </c>
      <c r="AA73" t="n">
        <v>408</v>
      </c>
      <c r="AB73" t="n">
        <v>5</v>
      </c>
      <c r="AC73" t="n">
        <v>5</v>
      </c>
      <c r="AD73" t="n">
        <v>17</v>
      </c>
      <c r="AE73" t="n">
        <v>17</v>
      </c>
      <c r="AF73" t="n">
        <v>7</v>
      </c>
      <c r="AG73" t="n">
        <v>7</v>
      </c>
      <c r="AH73" t="n">
        <v>5</v>
      </c>
      <c r="AI73" t="n">
        <v>5</v>
      </c>
      <c r="AJ73" t="n">
        <v>6</v>
      </c>
      <c r="AK73" t="n">
        <v>6</v>
      </c>
      <c r="AL73" t="n">
        <v>3</v>
      </c>
      <c r="AM73" t="n">
        <v>3</v>
      </c>
      <c r="AN73" t="n">
        <v>0</v>
      </c>
      <c r="AO73" t="n">
        <v>0</v>
      </c>
      <c r="AP73" t="inlineStr">
        <is>
          <t>No</t>
        </is>
      </c>
      <c r="AQ73" t="inlineStr">
        <is>
          <t>No</t>
        </is>
      </c>
      <c r="AS73">
        <f>HYPERLINK("https://creighton-primo.hosted.exlibrisgroup.com/primo-explore/search?tab=default_tab&amp;search_scope=EVERYTHING&amp;vid=01CRU&amp;lang=en_US&amp;offset=0&amp;query=any,contains,991004540039702656","Catalog Record")</f>
        <v/>
      </c>
      <c r="AT73">
        <f>HYPERLINK("http://www.worldcat.org/oclc/51817464","WorldCat Record")</f>
        <v/>
      </c>
      <c r="AU73" t="inlineStr">
        <is>
          <t>772493:eng</t>
        </is>
      </c>
      <c r="AV73" t="inlineStr">
        <is>
          <t>51817464</t>
        </is>
      </c>
      <c r="AW73" t="inlineStr">
        <is>
          <t>991004540039702656</t>
        </is>
      </c>
      <c r="AX73" t="inlineStr">
        <is>
          <t>991004540039702656</t>
        </is>
      </c>
      <c r="AY73" t="inlineStr">
        <is>
          <t>2258123100002656</t>
        </is>
      </c>
      <c r="AZ73" t="inlineStr">
        <is>
          <t>BOOK</t>
        </is>
      </c>
      <c r="BB73" t="inlineStr">
        <is>
          <t>9781555952235</t>
        </is>
      </c>
      <c r="BC73" t="inlineStr">
        <is>
          <t>32285005090328</t>
        </is>
      </c>
      <c r="BD73" t="inlineStr">
        <is>
          <t>893319362</t>
        </is>
      </c>
    </row>
    <row r="74">
      <c r="A74" t="inlineStr">
        <is>
          <t>No</t>
        </is>
      </c>
      <c r="B74" t="inlineStr">
        <is>
          <t>NB237.B6 F5 1952</t>
        </is>
      </c>
      <c r="C74" t="inlineStr">
        <is>
          <t>0                      NB 0237000B  6                  F  5           1952</t>
        </is>
      </c>
      <c r="D74" t="inlineStr">
        <is>
          <t>Mount Rushmore / Gilbert C. Fite.</t>
        </is>
      </c>
      <c r="F74" t="inlineStr">
        <is>
          <t>No</t>
        </is>
      </c>
      <c r="G74" t="inlineStr">
        <is>
          <t>1</t>
        </is>
      </c>
      <c r="H74" t="inlineStr">
        <is>
          <t>No</t>
        </is>
      </c>
      <c r="I74" t="inlineStr">
        <is>
          <t>No</t>
        </is>
      </c>
      <c r="J74" t="inlineStr">
        <is>
          <t>0</t>
        </is>
      </c>
      <c r="K74" t="inlineStr">
        <is>
          <t>Fite, Gilbert Courtland, 1918-2010.</t>
        </is>
      </c>
      <c r="L74" t="inlineStr">
        <is>
          <t>Norman : University of Oklahoma Press, c1952, 1964 printing.</t>
        </is>
      </c>
      <c r="M74" t="inlineStr">
        <is>
          <t>1952</t>
        </is>
      </c>
      <c r="N74" t="inlineStr">
        <is>
          <t>[1st ed.]</t>
        </is>
      </c>
      <c r="O74" t="inlineStr">
        <is>
          <t>eng</t>
        </is>
      </c>
      <c r="P74" t="inlineStr">
        <is>
          <t>oku</t>
        </is>
      </c>
      <c r="R74" t="inlineStr">
        <is>
          <t xml:space="preserve">NB </t>
        </is>
      </c>
      <c r="S74" t="n">
        <v>4</v>
      </c>
      <c r="T74" t="n">
        <v>4</v>
      </c>
      <c r="U74" t="inlineStr">
        <is>
          <t>2009-05-11</t>
        </is>
      </c>
      <c r="V74" t="inlineStr">
        <is>
          <t>2009-05-11</t>
        </is>
      </c>
      <c r="W74" t="inlineStr">
        <is>
          <t>1993-05-18</t>
        </is>
      </c>
      <c r="X74" t="inlineStr">
        <is>
          <t>1993-05-18</t>
        </is>
      </c>
      <c r="Y74" t="n">
        <v>470</v>
      </c>
      <c r="Z74" t="n">
        <v>458</v>
      </c>
      <c r="AA74" t="n">
        <v>541</v>
      </c>
      <c r="AB74" t="n">
        <v>8</v>
      </c>
      <c r="AC74" t="n">
        <v>10</v>
      </c>
      <c r="AD74" t="n">
        <v>15</v>
      </c>
      <c r="AE74" t="n">
        <v>18</v>
      </c>
      <c r="AF74" t="n">
        <v>5</v>
      </c>
      <c r="AG74" t="n">
        <v>6</v>
      </c>
      <c r="AH74" t="n">
        <v>1</v>
      </c>
      <c r="AI74" t="n">
        <v>1</v>
      </c>
      <c r="AJ74" t="n">
        <v>6</v>
      </c>
      <c r="AK74" t="n">
        <v>6</v>
      </c>
      <c r="AL74" t="n">
        <v>4</v>
      </c>
      <c r="AM74" t="n">
        <v>6</v>
      </c>
      <c r="AN74" t="n">
        <v>0</v>
      </c>
      <c r="AO74" t="n">
        <v>0</v>
      </c>
      <c r="AP74" t="inlineStr">
        <is>
          <t>No</t>
        </is>
      </c>
      <c r="AQ74" t="inlineStr">
        <is>
          <t>Yes</t>
        </is>
      </c>
      <c r="AR74">
        <f>HYPERLINK("http://catalog.hathitrust.org/Record/008510245","HathiTrust Record")</f>
        <v/>
      </c>
      <c r="AS74">
        <f>HYPERLINK("https://creighton-primo.hosted.exlibrisgroup.com/primo-explore/search?tab=default_tab&amp;search_scope=EVERYTHING&amp;vid=01CRU&amp;lang=en_US&amp;offset=0&amp;query=any,contains,991003798879702656","Catalog Record")</f>
        <v/>
      </c>
      <c r="AT74">
        <f>HYPERLINK("http://www.worldcat.org/oclc/1524519","WorldCat Record")</f>
        <v/>
      </c>
      <c r="AU74" t="inlineStr">
        <is>
          <t>461855:eng</t>
        </is>
      </c>
      <c r="AV74" t="inlineStr">
        <is>
          <t>1524519</t>
        </is>
      </c>
      <c r="AW74" t="inlineStr">
        <is>
          <t>991003798879702656</t>
        </is>
      </c>
      <c r="AX74" t="inlineStr">
        <is>
          <t>991003798879702656</t>
        </is>
      </c>
      <c r="AY74" t="inlineStr">
        <is>
          <t>2265332140002656</t>
        </is>
      </c>
      <c r="AZ74" t="inlineStr">
        <is>
          <t>BOOK</t>
        </is>
      </c>
      <c r="BC74" t="inlineStr">
        <is>
          <t>32285001659225</t>
        </is>
      </c>
      <c r="BD74" t="inlineStr">
        <is>
          <t>893258882</t>
        </is>
      </c>
    </row>
    <row r="75">
      <c r="A75" t="inlineStr">
        <is>
          <t>No</t>
        </is>
      </c>
      <c r="B75" t="inlineStr">
        <is>
          <t>NB237.D25 F72</t>
        </is>
      </c>
      <c r="C75" t="inlineStr">
        <is>
          <t>0                      NB 0237000D  25                 F  72</t>
        </is>
      </c>
      <c r="D75" t="inlineStr">
        <is>
          <t>Cyrus E. Dallin : let justice be done / Rell G. Francis. --</t>
        </is>
      </c>
      <c r="F75" t="inlineStr">
        <is>
          <t>No</t>
        </is>
      </c>
      <c r="G75" t="inlineStr">
        <is>
          <t>1</t>
        </is>
      </c>
      <c r="H75" t="inlineStr">
        <is>
          <t>No</t>
        </is>
      </c>
      <c r="I75" t="inlineStr">
        <is>
          <t>No</t>
        </is>
      </c>
      <c r="J75" t="inlineStr">
        <is>
          <t>0</t>
        </is>
      </c>
      <c r="K75" t="inlineStr">
        <is>
          <t>Francis, Rell G., 1928-</t>
        </is>
      </c>
      <c r="L75" t="inlineStr">
        <is>
          <t>Springville, Utah : Francis, c1976.</t>
        </is>
      </c>
      <c r="M75" t="inlineStr">
        <is>
          <t>1976</t>
        </is>
      </c>
      <c r="O75" t="inlineStr">
        <is>
          <t>eng</t>
        </is>
      </c>
      <c r="P75" t="inlineStr">
        <is>
          <t>utu</t>
        </is>
      </c>
      <c r="R75" t="inlineStr">
        <is>
          <t xml:space="preserve">NB </t>
        </is>
      </c>
      <c r="S75" t="n">
        <v>2</v>
      </c>
      <c r="T75" t="n">
        <v>2</v>
      </c>
      <c r="U75" t="inlineStr">
        <is>
          <t>2000-01-24</t>
        </is>
      </c>
      <c r="V75" t="inlineStr">
        <is>
          <t>2000-01-24</t>
        </is>
      </c>
      <c r="W75" t="inlineStr">
        <is>
          <t>1993-05-18</t>
        </is>
      </c>
      <c r="X75" t="inlineStr">
        <is>
          <t>1993-05-18</t>
        </is>
      </c>
      <c r="Y75" t="n">
        <v>125</v>
      </c>
      <c r="Z75" t="n">
        <v>125</v>
      </c>
      <c r="AA75" t="n">
        <v>129</v>
      </c>
      <c r="AB75" t="n">
        <v>2</v>
      </c>
      <c r="AC75" t="n">
        <v>2</v>
      </c>
      <c r="AD75" t="n">
        <v>6</v>
      </c>
      <c r="AE75" t="n">
        <v>6</v>
      </c>
      <c r="AF75" t="n">
        <v>0</v>
      </c>
      <c r="AG75" t="n">
        <v>0</v>
      </c>
      <c r="AH75" t="n">
        <v>2</v>
      </c>
      <c r="AI75" t="n">
        <v>2</v>
      </c>
      <c r="AJ75" t="n">
        <v>3</v>
      </c>
      <c r="AK75" t="n">
        <v>3</v>
      </c>
      <c r="AL75" t="n">
        <v>1</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HYPERLINK("https://creighton-primo.hosted.exlibrisgroup.com/primo-explore/search?tab=default_tab&amp;search_scope=EVERYTHING&amp;vid=01CRU&amp;lang=en_US&amp;offset=0&amp;query=any,contains,991004030529702656","Catalog Record")</f>
        <v/>
      </c>
      <c r="AT75">
        <f>HYPERLINK("http://www.worldcat.org/oclc/2151160","WorldCat Record")</f>
        <v/>
      </c>
      <c r="AU75" t="inlineStr">
        <is>
          <t>940548267:eng</t>
        </is>
      </c>
      <c r="AV75" t="inlineStr">
        <is>
          <t>2151160</t>
        </is>
      </c>
      <c r="AW75" t="inlineStr">
        <is>
          <t>991004030529702656</t>
        </is>
      </c>
      <c r="AX75" t="inlineStr">
        <is>
          <t>991004030529702656</t>
        </is>
      </c>
      <c r="AY75" t="inlineStr">
        <is>
          <t>2261448530002656</t>
        </is>
      </c>
      <c r="AZ75" t="inlineStr">
        <is>
          <t>BOOK</t>
        </is>
      </c>
      <c r="BC75" t="inlineStr">
        <is>
          <t>32285001659241</t>
        </is>
      </c>
      <c r="BD75" t="inlineStr">
        <is>
          <t>893806565</t>
        </is>
      </c>
    </row>
    <row r="76">
      <c r="A76" t="inlineStr">
        <is>
          <t>No</t>
        </is>
      </c>
      <c r="B76" t="inlineStr">
        <is>
          <t>NB237.D57 A4 1993</t>
        </is>
      </c>
      <c r="C76" t="inlineStr">
        <is>
          <t>0                      NB 0237000D  57                 A  4           1993</t>
        </is>
      </c>
      <c r="D76" t="inlineStr">
        <is>
          <t>Mark di Suvero : open secret : sculpture 1990-92 / Mark di Suvero ; poems selected by the artist.</t>
        </is>
      </c>
      <c r="F76" t="inlineStr">
        <is>
          <t>No</t>
        </is>
      </c>
      <c r="G76" t="inlineStr">
        <is>
          <t>1</t>
        </is>
      </c>
      <c r="H76" t="inlineStr">
        <is>
          <t>No</t>
        </is>
      </c>
      <c r="I76" t="inlineStr">
        <is>
          <t>No</t>
        </is>
      </c>
      <c r="J76" t="inlineStr">
        <is>
          <t>0</t>
        </is>
      </c>
      <c r="K76" t="inlineStr">
        <is>
          <t>Di Suvero, Mark, 1933-</t>
        </is>
      </c>
      <c r="L76" t="inlineStr">
        <is>
          <t>New York : Gagosian Gallery : Rizzoli, 1993.</t>
        </is>
      </c>
      <c r="M76" t="inlineStr">
        <is>
          <t>1993</t>
        </is>
      </c>
      <c r="O76" t="inlineStr">
        <is>
          <t>eng</t>
        </is>
      </c>
      <c r="P76" t="inlineStr">
        <is>
          <t>nyu</t>
        </is>
      </c>
      <c r="R76" t="inlineStr">
        <is>
          <t xml:space="preserve">NB </t>
        </is>
      </c>
      <c r="S76" t="n">
        <v>4</v>
      </c>
      <c r="T76" t="n">
        <v>4</v>
      </c>
      <c r="U76" t="inlineStr">
        <is>
          <t>2003-01-31</t>
        </is>
      </c>
      <c r="V76" t="inlineStr">
        <is>
          <t>2003-01-31</t>
        </is>
      </c>
      <c r="W76" t="inlineStr">
        <is>
          <t>1994-06-02</t>
        </is>
      </c>
      <c r="X76" t="inlineStr">
        <is>
          <t>1994-06-02</t>
        </is>
      </c>
      <c r="Y76" t="n">
        <v>241</v>
      </c>
      <c r="Z76" t="n">
        <v>210</v>
      </c>
      <c r="AA76" t="n">
        <v>211</v>
      </c>
      <c r="AB76" t="n">
        <v>3</v>
      </c>
      <c r="AC76" t="n">
        <v>3</v>
      </c>
      <c r="AD76" t="n">
        <v>7</v>
      </c>
      <c r="AE76" t="n">
        <v>7</v>
      </c>
      <c r="AF76" t="n">
        <v>3</v>
      </c>
      <c r="AG76" t="n">
        <v>3</v>
      </c>
      <c r="AH76" t="n">
        <v>1</v>
      </c>
      <c r="AI76" t="n">
        <v>1</v>
      </c>
      <c r="AJ76" t="n">
        <v>2</v>
      </c>
      <c r="AK76" t="n">
        <v>2</v>
      </c>
      <c r="AL76" t="n">
        <v>2</v>
      </c>
      <c r="AM76" t="n">
        <v>2</v>
      </c>
      <c r="AN76" t="n">
        <v>0</v>
      </c>
      <c r="AO76" t="n">
        <v>0</v>
      </c>
      <c r="AP76" t="inlineStr">
        <is>
          <t>No</t>
        </is>
      </c>
      <c r="AQ76" t="inlineStr">
        <is>
          <t>Yes</t>
        </is>
      </c>
      <c r="AR76">
        <f>HYPERLINK("http://catalog.hathitrust.org/Record/002732488","HathiTrust Record")</f>
        <v/>
      </c>
      <c r="AS76">
        <f>HYPERLINK("https://creighton-primo.hosted.exlibrisgroup.com/primo-explore/search?tab=default_tab&amp;search_scope=EVERYTHING&amp;vid=01CRU&amp;lang=en_US&amp;offset=0&amp;query=any,contains,991002208599702656","Catalog Record")</f>
        <v/>
      </c>
      <c r="AT76">
        <f>HYPERLINK("http://www.worldcat.org/oclc/28413790","WorldCat Record")</f>
        <v/>
      </c>
      <c r="AU76" t="inlineStr">
        <is>
          <t>8908511729:eng</t>
        </is>
      </c>
      <c r="AV76" t="inlineStr">
        <is>
          <t>28413790</t>
        </is>
      </c>
      <c r="AW76" t="inlineStr">
        <is>
          <t>991002208599702656</t>
        </is>
      </c>
      <c r="AX76" t="inlineStr">
        <is>
          <t>991002208599702656</t>
        </is>
      </c>
      <c r="AY76" t="inlineStr">
        <is>
          <t>2264512310002656</t>
        </is>
      </c>
      <c r="AZ76" t="inlineStr">
        <is>
          <t>BOOK</t>
        </is>
      </c>
      <c r="BB76" t="inlineStr">
        <is>
          <t>9780847817719</t>
        </is>
      </c>
      <c r="BC76" t="inlineStr">
        <is>
          <t>32285001920635</t>
        </is>
      </c>
      <c r="BD76" t="inlineStr">
        <is>
          <t>893238773</t>
        </is>
      </c>
    </row>
    <row r="77">
      <c r="A77" t="inlineStr">
        <is>
          <t>No</t>
        </is>
      </c>
      <c r="B77" t="inlineStr">
        <is>
          <t>NB237.G8 W7</t>
        </is>
      </c>
      <c r="C77" t="inlineStr">
        <is>
          <t>0                      NB 0237000G  8                  W  7</t>
        </is>
      </c>
      <c r="D77" t="inlineStr">
        <is>
          <t>Horatio Greenough, the first American sculptor.</t>
        </is>
      </c>
      <c r="F77" t="inlineStr">
        <is>
          <t>No</t>
        </is>
      </c>
      <c r="G77" t="inlineStr">
        <is>
          <t>1</t>
        </is>
      </c>
      <c r="H77" t="inlineStr">
        <is>
          <t>No</t>
        </is>
      </c>
      <c r="I77" t="inlineStr">
        <is>
          <t>No</t>
        </is>
      </c>
      <c r="J77" t="inlineStr">
        <is>
          <t>0</t>
        </is>
      </c>
      <c r="K77" t="inlineStr">
        <is>
          <t>Wright, Nathalia.</t>
        </is>
      </c>
      <c r="L77" t="inlineStr">
        <is>
          <t>Philadelphia, University of Pennsylvania Press [1963]</t>
        </is>
      </c>
      <c r="M77" t="inlineStr">
        <is>
          <t>1963</t>
        </is>
      </c>
      <c r="O77" t="inlineStr">
        <is>
          <t>eng</t>
        </is>
      </c>
      <c r="P77" t="inlineStr">
        <is>
          <t>pau</t>
        </is>
      </c>
      <c r="R77" t="inlineStr">
        <is>
          <t xml:space="preserve">NB </t>
        </is>
      </c>
      <c r="S77" t="n">
        <v>1</v>
      </c>
      <c r="T77" t="n">
        <v>1</v>
      </c>
      <c r="U77" t="inlineStr">
        <is>
          <t>2002-07-10</t>
        </is>
      </c>
      <c r="V77" t="inlineStr">
        <is>
          <t>2002-07-10</t>
        </is>
      </c>
      <c r="W77" t="inlineStr">
        <is>
          <t>1997-07-03</t>
        </is>
      </c>
      <c r="X77" t="inlineStr">
        <is>
          <t>1997-07-03</t>
        </is>
      </c>
      <c r="Y77" t="n">
        <v>585</v>
      </c>
      <c r="Z77" t="n">
        <v>537</v>
      </c>
      <c r="AA77" t="n">
        <v>688</v>
      </c>
      <c r="AB77" t="n">
        <v>2</v>
      </c>
      <c r="AC77" t="n">
        <v>2</v>
      </c>
      <c r="AD77" t="n">
        <v>22</v>
      </c>
      <c r="AE77" t="n">
        <v>28</v>
      </c>
      <c r="AF77" t="n">
        <v>8</v>
      </c>
      <c r="AG77" t="n">
        <v>13</v>
      </c>
      <c r="AH77" t="n">
        <v>6</v>
      </c>
      <c r="AI77" t="n">
        <v>8</v>
      </c>
      <c r="AJ77" t="n">
        <v>14</v>
      </c>
      <c r="AK77" t="n">
        <v>15</v>
      </c>
      <c r="AL77" t="n">
        <v>1</v>
      </c>
      <c r="AM77" t="n">
        <v>1</v>
      </c>
      <c r="AN77" t="n">
        <v>0</v>
      </c>
      <c r="AO77" t="n">
        <v>0</v>
      </c>
      <c r="AP77" t="inlineStr">
        <is>
          <t>No</t>
        </is>
      </c>
      <c r="AQ77" t="inlineStr">
        <is>
          <t>No</t>
        </is>
      </c>
      <c r="AR77">
        <f>HYPERLINK("http://catalog.hathitrust.org/Record/001461646","HathiTrust Record")</f>
        <v/>
      </c>
      <c r="AS77">
        <f>HYPERLINK("https://creighton-primo.hosted.exlibrisgroup.com/primo-explore/search?tab=default_tab&amp;search_scope=EVERYTHING&amp;vid=01CRU&amp;lang=en_US&amp;offset=0&amp;query=any,contains,991001955459702656","Catalog Record")</f>
        <v/>
      </c>
      <c r="AT77">
        <f>HYPERLINK("http://www.worldcat.org/oclc/253002","WorldCat Record")</f>
        <v/>
      </c>
      <c r="AU77" t="inlineStr">
        <is>
          <t>367645962:eng</t>
        </is>
      </c>
      <c r="AV77" t="inlineStr">
        <is>
          <t>253002</t>
        </is>
      </c>
      <c r="AW77" t="inlineStr">
        <is>
          <t>991001955459702656</t>
        </is>
      </c>
      <c r="AX77" t="inlineStr">
        <is>
          <t>991001955459702656</t>
        </is>
      </c>
      <c r="AY77" t="inlineStr">
        <is>
          <t>2267346300002656</t>
        </is>
      </c>
      <c r="AZ77" t="inlineStr">
        <is>
          <t>BOOK</t>
        </is>
      </c>
      <c r="BC77" t="inlineStr">
        <is>
          <t>32285002863602</t>
        </is>
      </c>
      <c r="BD77" t="inlineStr">
        <is>
          <t>893684794</t>
        </is>
      </c>
    </row>
    <row r="78">
      <c r="A78" t="inlineStr">
        <is>
          <t>No</t>
        </is>
      </c>
      <c r="B78" t="inlineStr">
        <is>
          <t>NB237.H254 H66 1991</t>
        </is>
      </c>
      <c r="C78" t="inlineStr">
        <is>
          <t>0                      NB 0237000H  254                H  66          1991</t>
        </is>
      </c>
      <c r="D78" t="inlineStr">
        <is>
          <t>Duane Hanson : the new objectivity / Robert Hobbs.</t>
        </is>
      </c>
      <c r="F78" t="inlineStr">
        <is>
          <t>No</t>
        </is>
      </c>
      <c r="G78" t="inlineStr">
        <is>
          <t>1</t>
        </is>
      </c>
      <c r="H78" t="inlineStr">
        <is>
          <t>No</t>
        </is>
      </c>
      <c r="I78" t="inlineStr">
        <is>
          <t>No</t>
        </is>
      </c>
      <c r="J78" t="inlineStr">
        <is>
          <t>0</t>
        </is>
      </c>
      <c r="K78" t="inlineStr">
        <is>
          <t>Hobbs, Robert Carleton, 1946-</t>
        </is>
      </c>
      <c r="L78" t="inlineStr">
        <is>
          <t>Tallahassee, Fla. : Florida State University Gallery &amp; Museum, c1991.</t>
        </is>
      </c>
      <c r="M78" t="inlineStr">
        <is>
          <t>1991</t>
        </is>
      </c>
      <c r="O78" t="inlineStr">
        <is>
          <t>eng</t>
        </is>
      </c>
      <c r="P78" t="inlineStr">
        <is>
          <t>flu</t>
        </is>
      </c>
      <c r="R78" t="inlineStr">
        <is>
          <t xml:space="preserve">NB </t>
        </is>
      </c>
      <c r="S78" t="n">
        <v>6</v>
      </c>
      <c r="T78" t="n">
        <v>6</v>
      </c>
      <c r="U78" t="inlineStr">
        <is>
          <t>1996-03-04</t>
        </is>
      </c>
      <c r="V78" t="inlineStr">
        <is>
          <t>1996-03-04</t>
        </is>
      </c>
      <c r="W78" t="inlineStr">
        <is>
          <t>1992-05-14</t>
        </is>
      </c>
      <c r="X78" t="inlineStr">
        <is>
          <t>1992-05-14</t>
        </is>
      </c>
      <c r="Y78" t="n">
        <v>254</v>
      </c>
      <c r="Z78" t="n">
        <v>243</v>
      </c>
      <c r="AA78" t="n">
        <v>274</v>
      </c>
      <c r="AB78" t="n">
        <v>3</v>
      </c>
      <c r="AC78" t="n">
        <v>3</v>
      </c>
      <c r="AD78" t="n">
        <v>8</v>
      </c>
      <c r="AE78" t="n">
        <v>9</v>
      </c>
      <c r="AF78" t="n">
        <v>1</v>
      </c>
      <c r="AG78" t="n">
        <v>2</v>
      </c>
      <c r="AH78" t="n">
        <v>2</v>
      </c>
      <c r="AI78" t="n">
        <v>2</v>
      </c>
      <c r="AJ78" t="n">
        <v>5</v>
      </c>
      <c r="AK78" t="n">
        <v>6</v>
      </c>
      <c r="AL78" t="n">
        <v>1</v>
      </c>
      <c r="AM78" t="n">
        <v>1</v>
      </c>
      <c r="AN78" t="n">
        <v>0</v>
      </c>
      <c r="AO78" t="n">
        <v>0</v>
      </c>
      <c r="AP78" t="inlineStr">
        <is>
          <t>No</t>
        </is>
      </c>
      <c r="AQ78" t="inlineStr">
        <is>
          <t>Yes</t>
        </is>
      </c>
      <c r="AR78">
        <f>HYPERLINK("http://catalog.hathitrust.org/Record/003483748","HathiTrust Record")</f>
        <v/>
      </c>
      <c r="AS78">
        <f>HYPERLINK("https://creighton-primo.hosted.exlibrisgroup.com/primo-explore/search?tab=default_tab&amp;search_scope=EVERYTHING&amp;vid=01CRU&amp;lang=en_US&amp;offset=0&amp;query=any,contains,991001981169702656","Catalog Record")</f>
        <v/>
      </c>
      <c r="AT78">
        <f>HYPERLINK("http://www.worldcat.org/oclc/28675170","WorldCat Record")</f>
        <v/>
      </c>
      <c r="AU78" t="inlineStr">
        <is>
          <t>475878352:eng</t>
        </is>
      </c>
      <c r="AV78" t="inlineStr">
        <is>
          <t>28675170</t>
        </is>
      </c>
      <c r="AW78" t="inlineStr">
        <is>
          <t>991001981169702656</t>
        </is>
      </c>
      <c r="AX78" t="inlineStr">
        <is>
          <t>991001981169702656</t>
        </is>
      </c>
      <c r="AY78" t="inlineStr">
        <is>
          <t>2272573380002656</t>
        </is>
      </c>
      <c r="AZ78" t="inlineStr">
        <is>
          <t>BOOK</t>
        </is>
      </c>
      <c r="BC78" t="inlineStr">
        <is>
          <t>32285001115475</t>
        </is>
      </c>
      <c r="BD78" t="inlineStr">
        <is>
          <t>893879370</t>
        </is>
      </c>
    </row>
    <row r="79">
      <c r="A79" t="inlineStr">
        <is>
          <t>No</t>
        </is>
      </c>
      <c r="B79" t="inlineStr">
        <is>
          <t>NB237.H29 F7 1994</t>
        </is>
      </c>
      <c r="C79" t="inlineStr">
        <is>
          <t>0                      NB 0237000H  29                 F  7           1994</t>
        </is>
      </c>
      <c r="D79" t="inlineStr">
        <is>
          <t>Frederick Hart, sculptor / introduction by J. Carter Brown ; a commentary by Tom Wolfe ; essays by Homan Potterton ... [et al.] ; designed and produced by Marshall Lee.</t>
        </is>
      </c>
      <c r="F79" t="inlineStr">
        <is>
          <t>No</t>
        </is>
      </c>
      <c r="G79" t="inlineStr">
        <is>
          <t>1</t>
        </is>
      </c>
      <c r="H79" t="inlineStr">
        <is>
          <t>No</t>
        </is>
      </c>
      <c r="I79" t="inlineStr">
        <is>
          <t>No</t>
        </is>
      </c>
      <c r="J79" t="inlineStr">
        <is>
          <t>0</t>
        </is>
      </c>
      <c r="L79" t="inlineStr">
        <is>
          <t>New York : Hudson Hills Press, c1994.</t>
        </is>
      </c>
      <c r="M79" t="inlineStr">
        <is>
          <t>1994</t>
        </is>
      </c>
      <c r="N79" t="inlineStr">
        <is>
          <t>1st ed.</t>
        </is>
      </c>
      <c r="O79" t="inlineStr">
        <is>
          <t>eng</t>
        </is>
      </c>
      <c r="P79" t="inlineStr">
        <is>
          <t>nyu</t>
        </is>
      </c>
      <c r="R79" t="inlineStr">
        <is>
          <t xml:space="preserve">NB </t>
        </is>
      </c>
      <c r="S79" t="n">
        <v>7</v>
      </c>
      <c r="T79" t="n">
        <v>7</v>
      </c>
      <c r="U79" t="inlineStr">
        <is>
          <t>2006-11-03</t>
        </is>
      </c>
      <c r="V79" t="inlineStr">
        <is>
          <t>2006-11-03</t>
        </is>
      </c>
      <c r="W79" t="inlineStr">
        <is>
          <t>1997-09-30</t>
        </is>
      </c>
      <c r="X79" t="inlineStr">
        <is>
          <t>1997-09-30</t>
        </is>
      </c>
      <c r="Y79" t="n">
        <v>353</v>
      </c>
      <c r="Z79" t="n">
        <v>319</v>
      </c>
      <c r="AA79" t="n">
        <v>321</v>
      </c>
      <c r="AB79" t="n">
        <v>3</v>
      </c>
      <c r="AC79" t="n">
        <v>3</v>
      </c>
      <c r="AD79" t="n">
        <v>13</v>
      </c>
      <c r="AE79" t="n">
        <v>13</v>
      </c>
      <c r="AF79" t="n">
        <v>5</v>
      </c>
      <c r="AG79" t="n">
        <v>5</v>
      </c>
      <c r="AH79" t="n">
        <v>2</v>
      </c>
      <c r="AI79" t="n">
        <v>2</v>
      </c>
      <c r="AJ79" t="n">
        <v>6</v>
      </c>
      <c r="AK79" t="n">
        <v>6</v>
      </c>
      <c r="AL79" t="n">
        <v>2</v>
      </c>
      <c r="AM79" t="n">
        <v>2</v>
      </c>
      <c r="AN79" t="n">
        <v>0</v>
      </c>
      <c r="AO79" t="n">
        <v>0</v>
      </c>
      <c r="AP79" t="inlineStr">
        <is>
          <t>No</t>
        </is>
      </c>
      <c r="AQ79" t="inlineStr">
        <is>
          <t>Yes</t>
        </is>
      </c>
      <c r="AR79">
        <f>HYPERLINK("http://catalog.hathitrust.org/Record/003030327","HathiTrust Record")</f>
        <v/>
      </c>
      <c r="AS79">
        <f>HYPERLINK("https://creighton-primo.hosted.exlibrisgroup.com/primo-explore/search?tab=default_tab&amp;search_scope=EVERYTHING&amp;vid=01CRU&amp;lang=en_US&amp;offset=0&amp;query=any,contains,991002483859702656","Catalog Record")</f>
        <v/>
      </c>
      <c r="AT79">
        <f>HYPERLINK("http://www.worldcat.org/oclc/32342904","WorldCat Record")</f>
        <v/>
      </c>
      <c r="AU79" t="inlineStr">
        <is>
          <t>369514007:eng</t>
        </is>
      </c>
      <c r="AV79" t="inlineStr">
        <is>
          <t>32342904</t>
        </is>
      </c>
      <c r="AW79" t="inlineStr">
        <is>
          <t>991002483859702656</t>
        </is>
      </c>
      <c r="AX79" t="inlineStr">
        <is>
          <t>991002483859702656</t>
        </is>
      </c>
      <c r="AY79" t="inlineStr">
        <is>
          <t>2258886560002656</t>
        </is>
      </c>
      <c r="AZ79" t="inlineStr">
        <is>
          <t>BOOK</t>
        </is>
      </c>
      <c r="BB79" t="inlineStr">
        <is>
          <t>9781555951207</t>
        </is>
      </c>
      <c r="BC79" t="inlineStr">
        <is>
          <t>32285003251450</t>
        </is>
      </c>
      <c r="BD79" t="inlineStr">
        <is>
          <t>893809515</t>
        </is>
      </c>
    </row>
    <row r="80">
      <c r="A80" t="inlineStr">
        <is>
          <t>No</t>
        </is>
      </c>
      <c r="B80" t="inlineStr">
        <is>
          <t>NB237.I78 A4 1985</t>
        </is>
      </c>
      <c r="C80" t="inlineStr">
        <is>
          <t>0                      NB 0237000I  78                 A  4           1985</t>
        </is>
      </c>
      <c r="D80" t="inlineStr">
        <is>
          <t>Being and circumstance : notes toward a conditional art / by Robert Irwin ; [edited by Lawrence Weschler].</t>
        </is>
      </c>
      <c r="F80" t="inlineStr">
        <is>
          <t>No</t>
        </is>
      </c>
      <c r="G80" t="inlineStr">
        <is>
          <t>1</t>
        </is>
      </c>
      <c r="H80" t="inlineStr">
        <is>
          <t>No</t>
        </is>
      </c>
      <c r="I80" t="inlineStr">
        <is>
          <t>No</t>
        </is>
      </c>
      <c r="J80" t="inlineStr">
        <is>
          <t>0</t>
        </is>
      </c>
      <c r="K80" t="inlineStr">
        <is>
          <t>Irwin, Robert, 1928-</t>
        </is>
      </c>
      <c r="L80" t="inlineStr">
        <is>
          <t>Larkspur Landing, Calif. : Lapis Press in conjunction with the Pace Gallery and the San Francisco Museum of Modern Art, c1985.</t>
        </is>
      </c>
      <c r="M80" t="inlineStr">
        <is>
          <t>1985</t>
        </is>
      </c>
      <c r="O80" t="inlineStr">
        <is>
          <t>eng</t>
        </is>
      </c>
      <c r="P80" t="inlineStr">
        <is>
          <t>cau</t>
        </is>
      </c>
      <c r="R80" t="inlineStr">
        <is>
          <t xml:space="preserve">NB </t>
        </is>
      </c>
      <c r="S80" t="n">
        <v>3</v>
      </c>
      <c r="T80" t="n">
        <v>3</v>
      </c>
      <c r="U80" t="inlineStr">
        <is>
          <t>1998-03-24</t>
        </is>
      </c>
      <c r="V80" t="inlineStr">
        <is>
          <t>1998-03-24</t>
        </is>
      </c>
      <c r="W80" t="inlineStr">
        <is>
          <t>1990-03-19</t>
        </is>
      </c>
      <c r="X80" t="inlineStr">
        <is>
          <t>1990-03-19</t>
        </is>
      </c>
      <c r="Y80" t="n">
        <v>442</v>
      </c>
      <c r="Z80" t="n">
        <v>380</v>
      </c>
      <c r="AA80" t="n">
        <v>382</v>
      </c>
      <c r="AB80" t="n">
        <v>3</v>
      </c>
      <c r="AC80" t="n">
        <v>3</v>
      </c>
      <c r="AD80" t="n">
        <v>14</v>
      </c>
      <c r="AE80" t="n">
        <v>14</v>
      </c>
      <c r="AF80" t="n">
        <v>3</v>
      </c>
      <c r="AG80" t="n">
        <v>3</v>
      </c>
      <c r="AH80" t="n">
        <v>4</v>
      </c>
      <c r="AI80" t="n">
        <v>4</v>
      </c>
      <c r="AJ80" t="n">
        <v>8</v>
      </c>
      <c r="AK80" t="n">
        <v>8</v>
      </c>
      <c r="AL80" t="n">
        <v>2</v>
      </c>
      <c r="AM80" t="n">
        <v>2</v>
      </c>
      <c r="AN80" t="n">
        <v>0</v>
      </c>
      <c r="AO80" t="n">
        <v>0</v>
      </c>
      <c r="AP80" t="inlineStr">
        <is>
          <t>No</t>
        </is>
      </c>
      <c r="AQ80" t="inlineStr">
        <is>
          <t>Yes</t>
        </is>
      </c>
      <c r="AR80">
        <f>HYPERLINK("http://catalog.hathitrust.org/Record/000474032","HathiTrust Record")</f>
        <v/>
      </c>
      <c r="AS80">
        <f>HYPERLINK("https://creighton-primo.hosted.exlibrisgroup.com/primo-explore/search?tab=default_tab&amp;search_scope=EVERYTHING&amp;vid=01CRU&amp;lang=en_US&amp;offset=0&amp;query=any,contains,991000743889702656","Catalog Record")</f>
        <v/>
      </c>
      <c r="AT80">
        <f>HYPERLINK("http://www.worldcat.org/oclc/12821739","WorldCat Record")</f>
        <v/>
      </c>
      <c r="AU80" t="inlineStr">
        <is>
          <t>1027137182:eng</t>
        </is>
      </c>
      <c r="AV80" t="inlineStr">
        <is>
          <t>12821739</t>
        </is>
      </c>
      <c r="AW80" t="inlineStr">
        <is>
          <t>991000743889702656</t>
        </is>
      </c>
      <c r="AX80" t="inlineStr">
        <is>
          <t>991000743889702656</t>
        </is>
      </c>
      <c r="AY80" t="inlineStr">
        <is>
          <t>2271986980002656</t>
        </is>
      </c>
      <c r="AZ80" t="inlineStr">
        <is>
          <t>BOOK</t>
        </is>
      </c>
      <c r="BB80" t="inlineStr">
        <is>
          <t>9780932499066</t>
        </is>
      </c>
      <c r="BC80" t="inlineStr">
        <is>
          <t>32285000086677</t>
        </is>
      </c>
      <c r="BD80" t="inlineStr">
        <is>
          <t>893784493</t>
        </is>
      </c>
    </row>
    <row r="81">
      <c r="A81" t="inlineStr">
        <is>
          <t>No</t>
        </is>
      </c>
      <c r="B81" t="inlineStr">
        <is>
          <t>NB237.N43 G55</t>
        </is>
      </c>
      <c r="C81" t="inlineStr">
        <is>
          <t>0                      NB 0237000N  43                 G  55</t>
        </is>
      </c>
      <c r="D81" t="inlineStr">
        <is>
          <t>Louise Nevelson / [by] Arnold B. Glimcher.</t>
        </is>
      </c>
      <c r="F81" t="inlineStr">
        <is>
          <t>No</t>
        </is>
      </c>
      <c r="G81" t="inlineStr">
        <is>
          <t>1</t>
        </is>
      </c>
      <c r="H81" t="inlineStr">
        <is>
          <t>No</t>
        </is>
      </c>
      <c r="I81" t="inlineStr">
        <is>
          <t>No</t>
        </is>
      </c>
      <c r="J81" t="inlineStr">
        <is>
          <t>0</t>
        </is>
      </c>
      <c r="K81" t="inlineStr">
        <is>
          <t>Glimcher, Arnold B.</t>
        </is>
      </c>
      <c r="L81" t="inlineStr">
        <is>
          <t>New York : Praeger, [1972]</t>
        </is>
      </c>
      <c r="M81" t="inlineStr">
        <is>
          <t>1972</t>
        </is>
      </c>
      <c r="O81" t="inlineStr">
        <is>
          <t>eng</t>
        </is>
      </c>
      <c r="P81" t="inlineStr">
        <is>
          <t>nyu</t>
        </is>
      </c>
      <c r="R81" t="inlineStr">
        <is>
          <t xml:space="preserve">NB </t>
        </is>
      </c>
      <c r="S81" t="n">
        <v>10</v>
      </c>
      <c r="T81" t="n">
        <v>10</v>
      </c>
      <c r="U81" t="inlineStr">
        <is>
          <t>2009-01-14</t>
        </is>
      </c>
      <c r="V81" t="inlineStr">
        <is>
          <t>2009-01-14</t>
        </is>
      </c>
      <c r="W81" t="inlineStr">
        <is>
          <t>1991-09-06</t>
        </is>
      </c>
      <c r="X81" t="inlineStr">
        <is>
          <t>1991-09-06</t>
        </is>
      </c>
      <c r="Y81" t="n">
        <v>665</v>
      </c>
      <c r="Z81" t="n">
        <v>628</v>
      </c>
      <c r="AA81" t="n">
        <v>633</v>
      </c>
      <c r="AB81" t="n">
        <v>7</v>
      </c>
      <c r="AC81" t="n">
        <v>7</v>
      </c>
      <c r="AD81" t="n">
        <v>21</v>
      </c>
      <c r="AE81" t="n">
        <v>21</v>
      </c>
      <c r="AF81" t="n">
        <v>8</v>
      </c>
      <c r="AG81" t="n">
        <v>8</v>
      </c>
      <c r="AH81" t="n">
        <v>1</v>
      </c>
      <c r="AI81" t="n">
        <v>1</v>
      </c>
      <c r="AJ81" t="n">
        <v>9</v>
      </c>
      <c r="AK81" t="n">
        <v>9</v>
      </c>
      <c r="AL81" t="n">
        <v>6</v>
      </c>
      <c r="AM81" t="n">
        <v>6</v>
      </c>
      <c r="AN81" t="n">
        <v>0</v>
      </c>
      <c r="AO81" t="n">
        <v>0</v>
      </c>
      <c r="AP81" t="inlineStr">
        <is>
          <t>No</t>
        </is>
      </c>
      <c r="AQ81" t="inlineStr">
        <is>
          <t>Yes</t>
        </is>
      </c>
      <c r="AR81">
        <f>HYPERLINK("http://catalog.hathitrust.org/Record/001461670","HathiTrust Record")</f>
        <v/>
      </c>
      <c r="AS81">
        <f>HYPERLINK("https://creighton-primo.hosted.exlibrisgroup.com/primo-explore/search?tab=default_tab&amp;search_scope=EVERYTHING&amp;vid=01CRU&amp;lang=en_US&amp;offset=0&amp;query=any,contains,991002936329702656","Catalog Record")</f>
        <v/>
      </c>
      <c r="AT81">
        <f>HYPERLINK("http://www.worldcat.org/oclc/533452","WorldCat Record")</f>
        <v/>
      </c>
      <c r="AU81" t="inlineStr">
        <is>
          <t>1909065613:eng</t>
        </is>
      </c>
      <c r="AV81" t="inlineStr">
        <is>
          <t>533452</t>
        </is>
      </c>
      <c r="AW81" t="inlineStr">
        <is>
          <t>991002936329702656</t>
        </is>
      </c>
      <c r="AX81" t="inlineStr">
        <is>
          <t>991002936329702656</t>
        </is>
      </c>
      <c r="AY81" t="inlineStr">
        <is>
          <t>2264403450002656</t>
        </is>
      </c>
      <c r="AZ81" t="inlineStr">
        <is>
          <t>BOOK</t>
        </is>
      </c>
      <c r="BC81" t="inlineStr">
        <is>
          <t>32285000733948</t>
        </is>
      </c>
      <c r="BD81" t="inlineStr">
        <is>
          <t>893805234</t>
        </is>
      </c>
    </row>
    <row r="82">
      <c r="A82" t="inlineStr">
        <is>
          <t>No</t>
        </is>
      </c>
      <c r="B82" t="inlineStr">
        <is>
          <t>NB237.N6 A4 1989</t>
        </is>
      </c>
      <c r="C82" t="inlineStr">
        <is>
          <t>0                      NB 0237000N  6                  A  4           1989</t>
        </is>
      </c>
      <c r="D82" t="inlineStr">
        <is>
          <t>Isamu Noguchi : portrait sculpture / by Nancy Grove.</t>
        </is>
      </c>
      <c r="F82" t="inlineStr">
        <is>
          <t>No</t>
        </is>
      </c>
      <c r="G82" t="inlineStr">
        <is>
          <t>1</t>
        </is>
      </c>
      <c r="H82" t="inlineStr">
        <is>
          <t>No</t>
        </is>
      </c>
      <c r="I82" t="inlineStr">
        <is>
          <t>No</t>
        </is>
      </c>
      <c r="J82" t="inlineStr">
        <is>
          <t>0</t>
        </is>
      </c>
      <c r="K82" t="inlineStr">
        <is>
          <t>Grove, Nancy.</t>
        </is>
      </c>
      <c r="L82" t="inlineStr">
        <is>
          <t>Washington, D.C. : Published by the Smithsonian Institution Press for the National Portrait Gallery, 1989.</t>
        </is>
      </c>
      <c r="M82" t="inlineStr">
        <is>
          <t>1989</t>
        </is>
      </c>
      <c r="O82" t="inlineStr">
        <is>
          <t>eng</t>
        </is>
      </c>
      <c r="P82" t="inlineStr">
        <is>
          <t>dcu</t>
        </is>
      </c>
      <c r="R82" t="inlineStr">
        <is>
          <t xml:space="preserve">NB </t>
        </is>
      </c>
      <c r="S82" t="n">
        <v>8</v>
      </c>
      <c r="T82" t="n">
        <v>8</v>
      </c>
      <c r="U82" t="inlineStr">
        <is>
          <t>2006-11-16</t>
        </is>
      </c>
      <c r="V82" t="inlineStr">
        <is>
          <t>2006-11-16</t>
        </is>
      </c>
      <c r="W82" t="inlineStr">
        <is>
          <t>1990-01-23</t>
        </is>
      </c>
      <c r="X82" t="inlineStr">
        <is>
          <t>1990-01-23</t>
        </is>
      </c>
      <c r="Y82" t="n">
        <v>543</v>
      </c>
      <c r="Z82" t="n">
        <v>486</v>
      </c>
      <c r="AA82" t="n">
        <v>488</v>
      </c>
      <c r="AB82" t="n">
        <v>7</v>
      </c>
      <c r="AC82" t="n">
        <v>7</v>
      </c>
      <c r="AD82" t="n">
        <v>22</v>
      </c>
      <c r="AE82" t="n">
        <v>22</v>
      </c>
      <c r="AF82" t="n">
        <v>7</v>
      </c>
      <c r="AG82" t="n">
        <v>7</v>
      </c>
      <c r="AH82" t="n">
        <v>5</v>
      </c>
      <c r="AI82" t="n">
        <v>5</v>
      </c>
      <c r="AJ82" t="n">
        <v>11</v>
      </c>
      <c r="AK82" t="n">
        <v>11</v>
      </c>
      <c r="AL82" t="n">
        <v>5</v>
      </c>
      <c r="AM82" t="n">
        <v>5</v>
      </c>
      <c r="AN82" t="n">
        <v>0</v>
      </c>
      <c r="AO82" t="n">
        <v>0</v>
      </c>
      <c r="AP82" t="inlineStr">
        <is>
          <t>No</t>
        </is>
      </c>
      <c r="AQ82" t="inlineStr">
        <is>
          <t>Yes</t>
        </is>
      </c>
      <c r="AR82">
        <f>HYPERLINK("http://catalog.hathitrust.org/Record/001545509","HathiTrust Record")</f>
        <v/>
      </c>
      <c r="AS82">
        <f>HYPERLINK("https://creighton-primo.hosted.exlibrisgroup.com/primo-explore/search?tab=default_tab&amp;search_scope=EVERYTHING&amp;vid=01CRU&amp;lang=en_US&amp;offset=0&amp;query=any,contains,991001450749702656","Catalog Record")</f>
        <v/>
      </c>
      <c r="AT82">
        <f>HYPERLINK("http://www.worldcat.org/oclc/19324667","WorldCat Record")</f>
        <v/>
      </c>
      <c r="AU82" t="inlineStr">
        <is>
          <t>1807157305:eng</t>
        </is>
      </c>
      <c r="AV82" t="inlineStr">
        <is>
          <t>19324667</t>
        </is>
      </c>
      <c r="AW82" t="inlineStr">
        <is>
          <t>991001450749702656</t>
        </is>
      </c>
      <c r="AX82" t="inlineStr">
        <is>
          <t>991001450749702656</t>
        </is>
      </c>
      <c r="AY82" t="inlineStr">
        <is>
          <t>2268100010002656</t>
        </is>
      </c>
      <c r="AZ82" t="inlineStr">
        <is>
          <t>BOOK</t>
        </is>
      </c>
      <c r="BB82" t="inlineStr">
        <is>
          <t>9780874744774</t>
        </is>
      </c>
      <c r="BC82" t="inlineStr">
        <is>
          <t>32285000029321</t>
        </is>
      </c>
      <c r="BD82" t="inlineStr">
        <is>
          <t>893621397</t>
        </is>
      </c>
    </row>
    <row r="83">
      <c r="A83" t="inlineStr">
        <is>
          <t>No</t>
        </is>
      </c>
      <c r="B83" t="inlineStr">
        <is>
          <t>NB237.N6 A8 1992</t>
        </is>
      </c>
      <c r="C83" t="inlineStr">
        <is>
          <t>0                      NB 0237000N  6                  A  8           1992</t>
        </is>
      </c>
      <c r="D83" t="inlineStr">
        <is>
          <t>Noguchi east and west / Dore Ashton ; with special photographs by Denise Browne Hare.</t>
        </is>
      </c>
      <c r="F83" t="inlineStr">
        <is>
          <t>No</t>
        </is>
      </c>
      <c r="G83" t="inlineStr">
        <is>
          <t>1</t>
        </is>
      </c>
      <c r="H83" t="inlineStr">
        <is>
          <t>No</t>
        </is>
      </c>
      <c r="I83" t="inlineStr">
        <is>
          <t>No</t>
        </is>
      </c>
      <c r="J83" t="inlineStr">
        <is>
          <t>0</t>
        </is>
      </c>
      <c r="K83" t="inlineStr">
        <is>
          <t>Ashton, Dore.</t>
        </is>
      </c>
      <c r="L83" t="inlineStr">
        <is>
          <t>New York : Knopf, 1992.</t>
        </is>
      </c>
      <c r="M83" t="inlineStr">
        <is>
          <t>1992</t>
        </is>
      </c>
      <c r="N83" t="inlineStr">
        <is>
          <t>1st ed.</t>
        </is>
      </c>
      <c r="O83" t="inlineStr">
        <is>
          <t>eng</t>
        </is>
      </c>
      <c r="P83" t="inlineStr">
        <is>
          <t>nyu</t>
        </is>
      </c>
      <c r="R83" t="inlineStr">
        <is>
          <t xml:space="preserve">NB </t>
        </is>
      </c>
      <c r="S83" t="n">
        <v>5</v>
      </c>
      <c r="T83" t="n">
        <v>5</v>
      </c>
      <c r="U83" t="inlineStr">
        <is>
          <t>2004-10-28</t>
        </is>
      </c>
      <c r="V83" t="inlineStr">
        <is>
          <t>2004-10-28</t>
        </is>
      </c>
      <c r="W83" t="inlineStr">
        <is>
          <t>1993-05-13</t>
        </is>
      </c>
      <c r="X83" t="inlineStr">
        <is>
          <t>1993-05-13</t>
        </is>
      </c>
      <c r="Y83" t="n">
        <v>521</v>
      </c>
      <c r="Z83" t="n">
        <v>465</v>
      </c>
      <c r="AA83" t="n">
        <v>615</v>
      </c>
      <c r="AB83" t="n">
        <v>4</v>
      </c>
      <c r="AC83" t="n">
        <v>5</v>
      </c>
      <c r="AD83" t="n">
        <v>16</v>
      </c>
      <c r="AE83" t="n">
        <v>21</v>
      </c>
      <c r="AF83" t="n">
        <v>5</v>
      </c>
      <c r="AG83" t="n">
        <v>6</v>
      </c>
      <c r="AH83" t="n">
        <v>5</v>
      </c>
      <c r="AI83" t="n">
        <v>6</v>
      </c>
      <c r="AJ83" t="n">
        <v>9</v>
      </c>
      <c r="AK83" t="n">
        <v>11</v>
      </c>
      <c r="AL83" t="n">
        <v>2</v>
      </c>
      <c r="AM83" t="n">
        <v>3</v>
      </c>
      <c r="AN83" t="n">
        <v>0</v>
      </c>
      <c r="AO83" t="n">
        <v>0</v>
      </c>
      <c r="AP83" t="inlineStr">
        <is>
          <t>No</t>
        </is>
      </c>
      <c r="AQ83" t="inlineStr">
        <is>
          <t>Yes</t>
        </is>
      </c>
      <c r="AR83">
        <f>HYPERLINK("http://catalog.hathitrust.org/Record/002554329","HathiTrust Record")</f>
        <v/>
      </c>
      <c r="AS83">
        <f>HYPERLINK("https://creighton-primo.hosted.exlibrisgroup.com/primo-explore/search?tab=default_tab&amp;search_scope=EVERYTHING&amp;vid=01CRU&amp;lang=en_US&amp;offset=0&amp;query=any,contains,991001892019702656","Catalog Record")</f>
        <v/>
      </c>
      <c r="AT83">
        <f>HYPERLINK("http://www.worldcat.org/oclc/23900529","WorldCat Record")</f>
        <v/>
      </c>
      <c r="AU83" t="inlineStr">
        <is>
          <t>24804849:eng</t>
        </is>
      </c>
      <c r="AV83" t="inlineStr">
        <is>
          <t>23900529</t>
        </is>
      </c>
      <c r="AW83" t="inlineStr">
        <is>
          <t>991001892019702656</t>
        </is>
      </c>
      <c r="AX83" t="inlineStr">
        <is>
          <t>991001892019702656</t>
        </is>
      </c>
      <c r="AY83" t="inlineStr">
        <is>
          <t>2254716470002656</t>
        </is>
      </c>
      <c r="AZ83" t="inlineStr">
        <is>
          <t>BOOK</t>
        </is>
      </c>
      <c r="BB83" t="inlineStr">
        <is>
          <t>9780394588049</t>
        </is>
      </c>
      <c r="BC83" t="inlineStr">
        <is>
          <t>32285001581304</t>
        </is>
      </c>
      <c r="BD83" t="inlineStr">
        <is>
          <t>893414581</t>
        </is>
      </c>
    </row>
    <row r="84">
      <c r="A84" t="inlineStr">
        <is>
          <t>No</t>
        </is>
      </c>
      <c r="B84" t="inlineStr">
        <is>
          <t>NB237.N6 F8 1968</t>
        </is>
      </c>
      <c r="C84" t="inlineStr">
        <is>
          <t>0                      NB 0237000N  6                  F  8           1968</t>
        </is>
      </c>
      <c r="D84" t="inlineStr">
        <is>
          <t>A sculptor's world. Foreword by R. Buckminster Fuller.</t>
        </is>
      </c>
      <c r="F84" t="inlineStr">
        <is>
          <t>No</t>
        </is>
      </c>
      <c r="G84" t="inlineStr">
        <is>
          <t>1</t>
        </is>
      </c>
      <c r="H84" t="inlineStr">
        <is>
          <t>No</t>
        </is>
      </c>
      <c r="I84" t="inlineStr">
        <is>
          <t>No</t>
        </is>
      </c>
      <c r="J84" t="inlineStr">
        <is>
          <t>0</t>
        </is>
      </c>
      <c r="K84" t="inlineStr">
        <is>
          <t>Noguchi, Isamu, 1904-1988.</t>
        </is>
      </c>
      <c r="L84" t="inlineStr">
        <is>
          <t>New York, Harper &amp; Row [1968]</t>
        </is>
      </c>
      <c r="M84" t="inlineStr">
        <is>
          <t>1968</t>
        </is>
      </c>
      <c r="N84" t="inlineStr">
        <is>
          <t>[1st U.S. ed.]</t>
        </is>
      </c>
      <c r="O84" t="inlineStr">
        <is>
          <t>eng</t>
        </is>
      </c>
      <c r="P84" t="inlineStr">
        <is>
          <t>nyu</t>
        </is>
      </c>
      <c r="R84" t="inlineStr">
        <is>
          <t xml:space="preserve">NB </t>
        </is>
      </c>
      <c r="S84" t="n">
        <v>5</v>
      </c>
      <c r="T84" t="n">
        <v>5</v>
      </c>
      <c r="U84" t="inlineStr">
        <is>
          <t>2010-06-21</t>
        </is>
      </c>
      <c r="V84" t="inlineStr">
        <is>
          <t>2010-06-21</t>
        </is>
      </c>
      <c r="W84" t="inlineStr">
        <is>
          <t>1997-07-03</t>
        </is>
      </c>
      <c r="X84" t="inlineStr">
        <is>
          <t>1997-07-03</t>
        </is>
      </c>
      <c r="Y84" t="n">
        <v>683</v>
      </c>
      <c r="Z84" t="n">
        <v>651</v>
      </c>
      <c r="AA84" t="n">
        <v>777</v>
      </c>
      <c r="AB84" t="n">
        <v>5</v>
      </c>
      <c r="AC84" t="n">
        <v>7</v>
      </c>
      <c r="AD84" t="n">
        <v>22</v>
      </c>
      <c r="AE84" t="n">
        <v>24</v>
      </c>
      <c r="AF84" t="n">
        <v>11</v>
      </c>
      <c r="AG84" t="n">
        <v>11</v>
      </c>
      <c r="AH84" t="n">
        <v>6</v>
      </c>
      <c r="AI84" t="n">
        <v>6</v>
      </c>
      <c r="AJ84" t="n">
        <v>7</v>
      </c>
      <c r="AK84" t="n">
        <v>7</v>
      </c>
      <c r="AL84" t="n">
        <v>4</v>
      </c>
      <c r="AM84" t="n">
        <v>6</v>
      </c>
      <c r="AN84" t="n">
        <v>0</v>
      </c>
      <c r="AO84" t="n">
        <v>0</v>
      </c>
      <c r="AP84" t="inlineStr">
        <is>
          <t>No</t>
        </is>
      </c>
      <c r="AQ84" t="inlineStr">
        <is>
          <t>No</t>
        </is>
      </c>
      <c r="AS84">
        <f>HYPERLINK("https://creighton-primo.hosted.exlibrisgroup.com/primo-explore/search?tab=default_tab&amp;search_scope=EVERYTHING&amp;vid=01CRU&amp;lang=en_US&amp;offset=0&amp;query=any,contains,991002642089702656","Catalog Record")</f>
        <v/>
      </c>
      <c r="AT84">
        <f>HYPERLINK("http://www.worldcat.org/oclc/384755","WorldCat Record")</f>
        <v/>
      </c>
      <c r="AU84" t="inlineStr">
        <is>
          <t>8908790660:eng</t>
        </is>
      </c>
      <c r="AV84" t="inlineStr">
        <is>
          <t>384755</t>
        </is>
      </c>
      <c r="AW84" t="inlineStr">
        <is>
          <t>991002642089702656</t>
        </is>
      </c>
      <c r="AX84" t="inlineStr">
        <is>
          <t>991002642089702656</t>
        </is>
      </c>
      <c r="AY84" t="inlineStr">
        <is>
          <t>2256254370002656</t>
        </is>
      </c>
      <c r="AZ84" t="inlineStr">
        <is>
          <t>BOOK</t>
        </is>
      </c>
      <c r="BC84" t="inlineStr">
        <is>
          <t>32285002863610</t>
        </is>
      </c>
      <c r="BD84" t="inlineStr">
        <is>
          <t>893227106</t>
        </is>
      </c>
    </row>
    <row r="85">
      <c r="A85" t="inlineStr">
        <is>
          <t>No</t>
        </is>
      </c>
      <c r="B85" t="inlineStr">
        <is>
          <t>NB237.P65 P6</t>
        </is>
      </c>
      <c r="C85" t="inlineStr">
        <is>
          <t>0                      NB 0237000P  65                 P  6</t>
        </is>
      </c>
      <c r="D85" t="inlineStr">
        <is>
          <t>Albin Polasek : man carving his own destiny.</t>
        </is>
      </c>
      <c r="F85" t="inlineStr">
        <is>
          <t>No</t>
        </is>
      </c>
      <c r="G85" t="inlineStr">
        <is>
          <t>1</t>
        </is>
      </c>
      <c r="H85" t="inlineStr">
        <is>
          <t>No</t>
        </is>
      </c>
      <c r="I85" t="inlineStr">
        <is>
          <t>No</t>
        </is>
      </c>
      <c r="J85" t="inlineStr">
        <is>
          <t>0</t>
        </is>
      </c>
      <c r="K85" t="inlineStr">
        <is>
          <t>Polasek, Emily M. K. (Emily Muska Kubat), 1897-</t>
        </is>
      </c>
      <c r="L85" t="inlineStr">
        <is>
          <t>Jacksonville : Convention Press, c1970.</t>
        </is>
      </c>
      <c r="M85" t="inlineStr">
        <is>
          <t>1970</t>
        </is>
      </c>
      <c r="O85" t="inlineStr">
        <is>
          <t>eng</t>
        </is>
      </c>
      <c r="P85" t="inlineStr">
        <is>
          <t>flu</t>
        </is>
      </c>
      <c r="R85" t="inlineStr">
        <is>
          <t xml:space="preserve">NB </t>
        </is>
      </c>
      <c r="S85" t="n">
        <v>2</v>
      </c>
      <c r="T85" t="n">
        <v>2</v>
      </c>
      <c r="U85" t="inlineStr">
        <is>
          <t>2005-04-04</t>
        </is>
      </c>
      <c r="V85" t="inlineStr">
        <is>
          <t>2005-04-04</t>
        </is>
      </c>
      <c r="W85" t="inlineStr">
        <is>
          <t>1991-05-20</t>
        </is>
      </c>
      <c r="X85" t="inlineStr">
        <is>
          <t>1991-05-20</t>
        </is>
      </c>
      <c r="Y85" t="n">
        <v>402</v>
      </c>
      <c r="Z85" t="n">
        <v>398</v>
      </c>
      <c r="AA85" t="n">
        <v>409</v>
      </c>
      <c r="AB85" t="n">
        <v>8</v>
      </c>
      <c r="AC85" t="n">
        <v>8</v>
      </c>
      <c r="AD85" t="n">
        <v>8</v>
      </c>
      <c r="AE85" t="n">
        <v>8</v>
      </c>
      <c r="AF85" t="n">
        <v>0</v>
      </c>
      <c r="AG85" t="n">
        <v>0</v>
      </c>
      <c r="AH85" t="n">
        <v>2</v>
      </c>
      <c r="AI85" t="n">
        <v>2</v>
      </c>
      <c r="AJ85" t="n">
        <v>0</v>
      </c>
      <c r="AK85" t="n">
        <v>0</v>
      </c>
      <c r="AL85" t="n">
        <v>6</v>
      </c>
      <c r="AM85" t="n">
        <v>6</v>
      </c>
      <c r="AN85" t="n">
        <v>0</v>
      </c>
      <c r="AO85" t="n">
        <v>0</v>
      </c>
      <c r="AP85" t="inlineStr">
        <is>
          <t>No</t>
        </is>
      </c>
      <c r="AQ85" t="inlineStr">
        <is>
          <t>Yes</t>
        </is>
      </c>
      <c r="AR85">
        <f>HYPERLINK("http://catalog.hathitrust.org/Record/000171514","HathiTrust Record")</f>
        <v/>
      </c>
      <c r="AS85">
        <f>HYPERLINK("https://creighton-primo.hosted.exlibrisgroup.com/primo-explore/search?tab=default_tab&amp;search_scope=EVERYTHING&amp;vid=01CRU&amp;lang=en_US&amp;offset=0&amp;query=any,contains,991004224459702656","Catalog Record")</f>
        <v/>
      </c>
      <c r="AT85">
        <f>HYPERLINK("http://www.worldcat.org/oclc/2724030","WorldCat Record")</f>
        <v/>
      </c>
      <c r="AU85" t="inlineStr">
        <is>
          <t>1808778084:eng</t>
        </is>
      </c>
      <c r="AV85" t="inlineStr">
        <is>
          <t>2724030</t>
        </is>
      </c>
      <c r="AW85" t="inlineStr">
        <is>
          <t>991004224459702656</t>
        </is>
      </c>
      <c r="AX85" t="inlineStr">
        <is>
          <t>991004224459702656</t>
        </is>
      </c>
      <c r="AY85" t="inlineStr">
        <is>
          <t>2257611340002656</t>
        </is>
      </c>
      <c r="AZ85" t="inlineStr">
        <is>
          <t>BOOK</t>
        </is>
      </c>
      <c r="BC85" t="inlineStr">
        <is>
          <t>32285000597368</t>
        </is>
      </c>
      <c r="BD85" t="inlineStr">
        <is>
          <t>893519392</t>
        </is>
      </c>
    </row>
    <row r="86">
      <c r="A86" t="inlineStr">
        <is>
          <t>No</t>
        </is>
      </c>
      <c r="B86" t="inlineStr">
        <is>
          <t>NB237.R84 A4 1994</t>
        </is>
      </c>
      <c r="C86" t="inlineStr">
        <is>
          <t>0                      NB 0237000R  84                 A  4           1994</t>
        </is>
      </c>
      <c r="D86" t="inlineStr">
        <is>
          <t>Charles M. Russell, sculptor / by Rick Stewart.</t>
        </is>
      </c>
      <c r="F86" t="inlineStr">
        <is>
          <t>No</t>
        </is>
      </c>
      <c r="G86" t="inlineStr">
        <is>
          <t>1</t>
        </is>
      </c>
      <c r="H86" t="inlineStr">
        <is>
          <t>No</t>
        </is>
      </c>
      <c r="I86" t="inlineStr">
        <is>
          <t>No</t>
        </is>
      </c>
      <c r="J86" t="inlineStr">
        <is>
          <t>0</t>
        </is>
      </c>
      <c r="K86" t="inlineStr">
        <is>
          <t>Stewart, Rick, 1944-</t>
        </is>
      </c>
      <c r="L86" t="inlineStr">
        <is>
          <t>Fort Worth, Tex. : Amon Carter Museum ; New York : Distributed by H.N. Abrams, 1994.</t>
        </is>
      </c>
      <c r="M86" t="inlineStr">
        <is>
          <t>1994</t>
        </is>
      </c>
      <c r="O86" t="inlineStr">
        <is>
          <t>eng</t>
        </is>
      </c>
      <c r="P86" t="inlineStr">
        <is>
          <t>txu</t>
        </is>
      </c>
      <c r="R86" t="inlineStr">
        <is>
          <t xml:space="preserve">NB </t>
        </is>
      </c>
      <c r="S86" t="n">
        <v>1</v>
      </c>
      <c r="T86" t="n">
        <v>1</v>
      </c>
      <c r="U86" t="inlineStr">
        <is>
          <t>2009-04-06</t>
        </is>
      </c>
      <c r="V86" t="inlineStr">
        <is>
          <t>2009-04-06</t>
        </is>
      </c>
      <c r="W86" t="inlineStr">
        <is>
          <t>2009-04-06</t>
        </is>
      </c>
      <c r="X86" t="inlineStr">
        <is>
          <t>2009-04-06</t>
        </is>
      </c>
      <c r="Y86" t="n">
        <v>538</v>
      </c>
      <c r="Z86" t="n">
        <v>500</v>
      </c>
      <c r="AA86" t="n">
        <v>504</v>
      </c>
      <c r="AB86" t="n">
        <v>5</v>
      </c>
      <c r="AC86" t="n">
        <v>5</v>
      </c>
      <c r="AD86" t="n">
        <v>14</v>
      </c>
      <c r="AE86" t="n">
        <v>14</v>
      </c>
      <c r="AF86" t="n">
        <v>4</v>
      </c>
      <c r="AG86" t="n">
        <v>4</v>
      </c>
      <c r="AH86" t="n">
        <v>2</v>
      </c>
      <c r="AI86" t="n">
        <v>2</v>
      </c>
      <c r="AJ86" t="n">
        <v>9</v>
      </c>
      <c r="AK86" t="n">
        <v>9</v>
      </c>
      <c r="AL86" t="n">
        <v>3</v>
      </c>
      <c r="AM86" t="n">
        <v>3</v>
      </c>
      <c r="AN86" t="n">
        <v>0</v>
      </c>
      <c r="AO86" t="n">
        <v>0</v>
      </c>
      <c r="AP86" t="inlineStr">
        <is>
          <t>No</t>
        </is>
      </c>
      <c r="AQ86" t="inlineStr">
        <is>
          <t>Yes</t>
        </is>
      </c>
      <c r="AR86">
        <f>HYPERLINK("http://catalog.hathitrust.org/Record/004552544","HathiTrust Record")</f>
        <v/>
      </c>
      <c r="AS86">
        <f>HYPERLINK("https://creighton-primo.hosted.exlibrisgroup.com/primo-explore/search?tab=default_tab&amp;search_scope=EVERYTHING&amp;vid=01CRU&amp;lang=en_US&amp;offset=0&amp;query=any,contains,991005305609702656","Catalog Record")</f>
        <v/>
      </c>
      <c r="AT86">
        <f>HYPERLINK("http://www.worldcat.org/oclc/29877377","WorldCat Record")</f>
        <v/>
      </c>
      <c r="AU86" t="inlineStr">
        <is>
          <t>32132286:eng</t>
        </is>
      </c>
      <c r="AV86" t="inlineStr">
        <is>
          <t>29877377</t>
        </is>
      </c>
      <c r="AW86" t="inlineStr">
        <is>
          <t>991005305609702656</t>
        </is>
      </c>
      <c r="AX86" t="inlineStr">
        <is>
          <t>991005305609702656</t>
        </is>
      </c>
      <c r="AY86" t="inlineStr">
        <is>
          <t>2257808470002656</t>
        </is>
      </c>
      <c r="AZ86" t="inlineStr">
        <is>
          <t>BOOK</t>
        </is>
      </c>
      <c r="BB86" t="inlineStr">
        <is>
          <t>9780810937727</t>
        </is>
      </c>
      <c r="BC86" t="inlineStr">
        <is>
          <t>32285005513568</t>
        </is>
      </c>
      <c r="BD86" t="inlineStr">
        <is>
          <t>893607184</t>
        </is>
      </c>
    </row>
    <row r="87">
      <c r="A87" t="inlineStr">
        <is>
          <t>No</t>
        </is>
      </c>
      <c r="B87" t="inlineStr">
        <is>
          <t>NB259.C384 H47 2000</t>
        </is>
      </c>
      <c r="C87" t="inlineStr">
        <is>
          <t>0                      NB 0259000C  384                H  47          2000</t>
        </is>
      </c>
      <c r="D87" t="inlineStr">
        <is>
          <t>Elizabeth Catlett : an American artist in Mexico / Melanie Anne Herzog.</t>
        </is>
      </c>
      <c r="F87" t="inlineStr">
        <is>
          <t>No</t>
        </is>
      </c>
      <c r="G87" t="inlineStr">
        <is>
          <t>1</t>
        </is>
      </c>
      <c r="H87" t="inlineStr">
        <is>
          <t>No</t>
        </is>
      </c>
      <c r="I87" t="inlineStr">
        <is>
          <t>No</t>
        </is>
      </c>
      <c r="J87" t="inlineStr">
        <is>
          <t>0</t>
        </is>
      </c>
      <c r="K87" t="inlineStr">
        <is>
          <t>Herzog, Melanie.</t>
        </is>
      </c>
      <c r="L87" t="inlineStr">
        <is>
          <t>Seattle : University of Washington Press, c2000.</t>
        </is>
      </c>
      <c r="M87" t="inlineStr">
        <is>
          <t>2000</t>
        </is>
      </c>
      <c r="O87" t="inlineStr">
        <is>
          <t>eng</t>
        </is>
      </c>
      <c r="P87" t="inlineStr">
        <is>
          <t>wau</t>
        </is>
      </c>
      <c r="Q87" t="inlineStr">
        <is>
          <t>The Jacob Lawrence series on American artists</t>
        </is>
      </c>
      <c r="R87" t="inlineStr">
        <is>
          <t xml:space="preserve">NB </t>
        </is>
      </c>
      <c r="S87" t="n">
        <v>1</v>
      </c>
      <c r="T87" t="n">
        <v>1</v>
      </c>
      <c r="U87" t="inlineStr">
        <is>
          <t>2001-01-03</t>
        </is>
      </c>
      <c r="V87" t="inlineStr">
        <is>
          <t>2001-01-03</t>
        </is>
      </c>
      <c r="W87" t="inlineStr">
        <is>
          <t>2001-01-03</t>
        </is>
      </c>
      <c r="X87" t="inlineStr">
        <is>
          <t>2001-01-03</t>
        </is>
      </c>
      <c r="Y87" t="n">
        <v>716</v>
      </c>
      <c r="Z87" t="n">
        <v>683</v>
      </c>
      <c r="AA87" t="n">
        <v>749</v>
      </c>
      <c r="AB87" t="n">
        <v>3</v>
      </c>
      <c r="AC87" t="n">
        <v>3</v>
      </c>
      <c r="AD87" t="n">
        <v>21</v>
      </c>
      <c r="AE87" t="n">
        <v>23</v>
      </c>
      <c r="AF87" t="n">
        <v>8</v>
      </c>
      <c r="AG87" t="n">
        <v>9</v>
      </c>
      <c r="AH87" t="n">
        <v>5</v>
      </c>
      <c r="AI87" t="n">
        <v>6</v>
      </c>
      <c r="AJ87" t="n">
        <v>11</v>
      </c>
      <c r="AK87" t="n">
        <v>11</v>
      </c>
      <c r="AL87" t="n">
        <v>2</v>
      </c>
      <c r="AM87" t="n">
        <v>2</v>
      </c>
      <c r="AN87" t="n">
        <v>0</v>
      </c>
      <c r="AO87" t="n">
        <v>0</v>
      </c>
      <c r="AP87" t="inlineStr">
        <is>
          <t>No</t>
        </is>
      </c>
      <c r="AQ87" t="inlineStr">
        <is>
          <t>No</t>
        </is>
      </c>
      <c r="AS87">
        <f>HYPERLINK("https://creighton-primo.hosted.exlibrisgroup.com/primo-explore/search?tab=default_tab&amp;search_scope=EVERYTHING&amp;vid=01CRU&amp;lang=en_US&amp;offset=0&amp;query=any,contains,991003360319702656","Catalog Record")</f>
        <v/>
      </c>
      <c r="AT87">
        <f>HYPERLINK("http://www.worldcat.org/oclc/43311793","WorldCat Record")</f>
        <v/>
      </c>
      <c r="AU87" t="inlineStr">
        <is>
          <t>905751494:eng</t>
        </is>
      </c>
      <c r="AV87" t="inlineStr">
        <is>
          <t>43311793</t>
        </is>
      </c>
      <c r="AW87" t="inlineStr">
        <is>
          <t>991003360319702656</t>
        </is>
      </c>
      <c r="AX87" t="inlineStr">
        <is>
          <t>991003360319702656</t>
        </is>
      </c>
      <c r="AY87" t="inlineStr">
        <is>
          <t>2270127860002656</t>
        </is>
      </c>
      <c r="AZ87" t="inlineStr">
        <is>
          <t>BOOK</t>
        </is>
      </c>
      <c r="BB87" t="inlineStr">
        <is>
          <t>9780295979403</t>
        </is>
      </c>
      <c r="BC87" t="inlineStr">
        <is>
          <t>32285004279278</t>
        </is>
      </c>
      <c r="BD87" t="inlineStr">
        <is>
          <t>893441224</t>
        </is>
      </c>
    </row>
    <row r="88">
      <c r="A88" t="inlineStr">
        <is>
          <t>No</t>
        </is>
      </c>
      <c r="B88" t="inlineStr">
        <is>
          <t>NB450 .J23 1997</t>
        </is>
      </c>
      <c r="C88" t="inlineStr">
        <is>
          <t>0                      NB 0450000J  23          1997</t>
        </is>
      </c>
      <c r="D88" t="inlineStr">
        <is>
          <t>Summary catalogue of European sculpture in the J. Paul Getty Museum / Peter Fusco.</t>
        </is>
      </c>
      <c r="F88" t="inlineStr">
        <is>
          <t>No</t>
        </is>
      </c>
      <c r="G88" t="inlineStr">
        <is>
          <t>1</t>
        </is>
      </c>
      <c r="H88" t="inlineStr">
        <is>
          <t>No</t>
        </is>
      </c>
      <c r="I88" t="inlineStr">
        <is>
          <t>No</t>
        </is>
      </c>
      <c r="J88" t="inlineStr">
        <is>
          <t>0</t>
        </is>
      </c>
      <c r="K88" t="inlineStr">
        <is>
          <t>J. Paul Getty Museum.</t>
        </is>
      </c>
      <c r="L88" t="inlineStr">
        <is>
          <t>Los Angeles : J. Paul Getty Museum, c1997.</t>
        </is>
      </c>
      <c r="M88" t="inlineStr">
        <is>
          <t>1997</t>
        </is>
      </c>
      <c r="O88" t="inlineStr">
        <is>
          <t>eng</t>
        </is>
      </c>
      <c r="P88" t="inlineStr">
        <is>
          <t>cau</t>
        </is>
      </c>
      <c r="R88" t="inlineStr">
        <is>
          <t xml:space="preserve">NB </t>
        </is>
      </c>
      <c r="S88" t="n">
        <v>1</v>
      </c>
      <c r="T88" t="n">
        <v>1</v>
      </c>
      <c r="U88" t="inlineStr">
        <is>
          <t>2009-04-16</t>
        </is>
      </c>
      <c r="V88" t="inlineStr">
        <is>
          <t>2009-04-16</t>
        </is>
      </c>
      <c r="W88" t="inlineStr">
        <is>
          <t>2009-04-16</t>
        </is>
      </c>
      <c r="X88" t="inlineStr">
        <is>
          <t>2009-04-16</t>
        </is>
      </c>
      <c r="Y88" t="n">
        <v>233</v>
      </c>
      <c r="Z88" t="n">
        <v>197</v>
      </c>
      <c r="AA88" t="n">
        <v>253</v>
      </c>
      <c r="AB88" t="n">
        <v>2</v>
      </c>
      <c r="AC88" t="n">
        <v>2</v>
      </c>
      <c r="AD88" t="n">
        <v>11</v>
      </c>
      <c r="AE88" t="n">
        <v>12</v>
      </c>
      <c r="AF88" t="n">
        <v>2</v>
      </c>
      <c r="AG88" t="n">
        <v>2</v>
      </c>
      <c r="AH88" t="n">
        <v>4</v>
      </c>
      <c r="AI88" t="n">
        <v>5</v>
      </c>
      <c r="AJ88" t="n">
        <v>6</v>
      </c>
      <c r="AK88" t="n">
        <v>6</v>
      </c>
      <c r="AL88" t="n">
        <v>1</v>
      </c>
      <c r="AM88" t="n">
        <v>1</v>
      </c>
      <c r="AN88" t="n">
        <v>0</v>
      </c>
      <c r="AO88" t="n">
        <v>0</v>
      </c>
      <c r="AP88" t="inlineStr">
        <is>
          <t>No</t>
        </is>
      </c>
      <c r="AQ88" t="inlineStr">
        <is>
          <t>Yes</t>
        </is>
      </c>
      <c r="AR88">
        <f>HYPERLINK("http://catalog.hathitrust.org/Record/003264527","HathiTrust Record")</f>
        <v/>
      </c>
      <c r="AS88">
        <f>HYPERLINK("https://creighton-primo.hosted.exlibrisgroup.com/primo-explore/search?tab=default_tab&amp;search_scope=EVERYTHING&amp;vid=01CRU&amp;lang=en_US&amp;offset=0&amp;query=any,contains,991005305569702656","Catalog Record")</f>
        <v/>
      </c>
      <c r="AT88">
        <f>HYPERLINK("http://www.worldcat.org/oclc/36776497","WorldCat Record")</f>
        <v/>
      </c>
      <c r="AU88" t="inlineStr">
        <is>
          <t>649480:eng</t>
        </is>
      </c>
      <c r="AV88" t="inlineStr">
        <is>
          <t>36776497</t>
        </is>
      </c>
      <c r="AW88" t="inlineStr">
        <is>
          <t>991005305569702656</t>
        </is>
      </c>
      <c r="AX88" t="inlineStr">
        <is>
          <t>991005305569702656</t>
        </is>
      </c>
      <c r="AY88" t="inlineStr">
        <is>
          <t>2255420890002656</t>
        </is>
      </c>
      <c r="AZ88" t="inlineStr">
        <is>
          <t>BOOK</t>
        </is>
      </c>
      <c r="BB88" t="inlineStr">
        <is>
          <t>9780892364886</t>
        </is>
      </c>
      <c r="BC88" t="inlineStr">
        <is>
          <t>32285005516629</t>
        </is>
      </c>
      <c r="BD88" t="inlineStr">
        <is>
          <t>893520807</t>
        </is>
      </c>
    </row>
    <row r="89">
      <c r="A89" t="inlineStr">
        <is>
          <t>No</t>
        </is>
      </c>
      <c r="B89" t="inlineStr">
        <is>
          <t>NB457 .H86 1994</t>
        </is>
      </c>
      <c r="C89" t="inlineStr">
        <is>
          <t>0                      NB 0457000H  86          1994</t>
        </is>
      </c>
      <c r="D89" t="inlineStr">
        <is>
          <t>Carvings, casts &amp; replicas : nineteenth-century sculpture from Europe &amp; America in New England collections / by John M. Hunisak, with an essay by Ruth Butler.</t>
        </is>
      </c>
      <c r="F89" t="inlineStr">
        <is>
          <t>No</t>
        </is>
      </c>
      <c r="G89" t="inlineStr">
        <is>
          <t>1</t>
        </is>
      </c>
      <c r="H89" t="inlineStr">
        <is>
          <t>No</t>
        </is>
      </c>
      <c r="I89" t="inlineStr">
        <is>
          <t>No</t>
        </is>
      </c>
      <c r="J89" t="inlineStr">
        <is>
          <t>0</t>
        </is>
      </c>
      <c r="K89" t="inlineStr">
        <is>
          <t>Hunisak, John M., 1944-</t>
        </is>
      </c>
      <c r="L89" t="inlineStr">
        <is>
          <t>Middlebury, Vt. : Middlebury College Museum of Art ; Hanover : Distributed by University Press of New England, 1994.</t>
        </is>
      </c>
      <c r="M89" t="inlineStr">
        <is>
          <t>1994</t>
        </is>
      </c>
      <c r="O89" t="inlineStr">
        <is>
          <t>eng</t>
        </is>
      </c>
      <c r="P89" t="inlineStr">
        <is>
          <t>vtu</t>
        </is>
      </c>
      <c r="R89" t="inlineStr">
        <is>
          <t xml:space="preserve">NB </t>
        </is>
      </c>
      <c r="S89" t="n">
        <v>1</v>
      </c>
      <c r="T89" t="n">
        <v>1</v>
      </c>
      <c r="U89" t="inlineStr">
        <is>
          <t>2009-04-06</t>
        </is>
      </c>
      <c r="V89" t="inlineStr">
        <is>
          <t>2009-04-06</t>
        </is>
      </c>
      <c r="W89" t="inlineStr">
        <is>
          <t>2009-04-06</t>
        </is>
      </c>
      <c r="X89" t="inlineStr">
        <is>
          <t>2009-04-06</t>
        </is>
      </c>
      <c r="Y89" t="n">
        <v>211</v>
      </c>
      <c r="Z89" t="n">
        <v>192</v>
      </c>
      <c r="AA89" t="n">
        <v>193</v>
      </c>
      <c r="AB89" t="n">
        <v>3</v>
      </c>
      <c r="AC89" t="n">
        <v>3</v>
      </c>
      <c r="AD89" t="n">
        <v>5</v>
      </c>
      <c r="AE89" t="n">
        <v>5</v>
      </c>
      <c r="AF89" t="n">
        <v>1</v>
      </c>
      <c r="AG89" t="n">
        <v>1</v>
      </c>
      <c r="AH89" t="n">
        <v>3</v>
      </c>
      <c r="AI89" t="n">
        <v>3</v>
      </c>
      <c r="AJ89" t="n">
        <v>1</v>
      </c>
      <c r="AK89" t="n">
        <v>1</v>
      </c>
      <c r="AL89" t="n">
        <v>1</v>
      </c>
      <c r="AM89" t="n">
        <v>1</v>
      </c>
      <c r="AN89" t="n">
        <v>0</v>
      </c>
      <c r="AO89" t="n">
        <v>0</v>
      </c>
      <c r="AP89" t="inlineStr">
        <is>
          <t>No</t>
        </is>
      </c>
      <c r="AQ89" t="inlineStr">
        <is>
          <t>Yes</t>
        </is>
      </c>
      <c r="AR89">
        <f>HYPERLINK("http://catalog.hathitrust.org/Record/002914111","HathiTrust Record")</f>
        <v/>
      </c>
      <c r="AS89">
        <f>HYPERLINK("https://creighton-primo.hosted.exlibrisgroup.com/primo-explore/search?tab=default_tab&amp;search_scope=EVERYTHING&amp;vid=01CRU&amp;lang=en_US&amp;offset=0&amp;query=any,contains,991005305549702656","Catalog Record")</f>
        <v/>
      </c>
      <c r="AT89">
        <f>HYPERLINK("http://www.worldcat.org/oclc/30155293","WorldCat Record")</f>
        <v/>
      </c>
      <c r="AU89" t="inlineStr">
        <is>
          <t>31949143:eng</t>
        </is>
      </c>
      <c r="AV89" t="inlineStr">
        <is>
          <t>30155293</t>
        </is>
      </c>
      <c r="AW89" t="inlineStr">
        <is>
          <t>991005305549702656</t>
        </is>
      </c>
      <c r="AX89" t="inlineStr">
        <is>
          <t>991005305549702656</t>
        </is>
      </c>
      <c r="AY89" t="inlineStr">
        <is>
          <t>2262960390002656</t>
        </is>
      </c>
      <c r="AZ89" t="inlineStr">
        <is>
          <t>BOOK</t>
        </is>
      </c>
      <c r="BB89" t="inlineStr">
        <is>
          <t>9780962526275</t>
        </is>
      </c>
      <c r="BC89" t="inlineStr">
        <is>
          <t>32285005513543</t>
        </is>
      </c>
      <c r="BD89" t="inlineStr">
        <is>
          <t>893613485</t>
        </is>
      </c>
    </row>
    <row r="90">
      <c r="A90" t="inlineStr">
        <is>
          <t>No</t>
        </is>
      </c>
      <c r="B90" t="inlineStr">
        <is>
          <t>NB457 .N38 2000</t>
        </is>
      </c>
      <c r="C90" t="inlineStr">
        <is>
          <t>0                      NB 0457000N  38          2000</t>
        </is>
      </c>
      <c r="D90" t="inlineStr">
        <is>
          <t>European sculpture of the nineteenth century / Ruth Butler, Suzanne Glover Lindsay with Alison Luchs ... [et al.].</t>
        </is>
      </c>
      <c r="F90" t="inlineStr">
        <is>
          <t>No</t>
        </is>
      </c>
      <c r="G90" t="inlineStr">
        <is>
          <t>1</t>
        </is>
      </c>
      <c r="H90" t="inlineStr">
        <is>
          <t>No</t>
        </is>
      </c>
      <c r="I90" t="inlineStr">
        <is>
          <t>No</t>
        </is>
      </c>
      <c r="J90" t="inlineStr">
        <is>
          <t>0</t>
        </is>
      </c>
      <c r="K90" t="inlineStr">
        <is>
          <t>National Gallery of Art (U.S.)</t>
        </is>
      </c>
      <c r="L90" t="inlineStr">
        <is>
          <t>Washington : National Gallery of Art ; New York : Oxford University Press, c2000.</t>
        </is>
      </c>
      <c r="M90" t="inlineStr">
        <is>
          <t>2000</t>
        </is>
      </c>
      <c r="O90" t="inlineStr">
        <is>
          <t>eng</t>
        </is>
      </c>
      <c r="P90" t="inlineStr">
        <is>
          <t>dcu</t>
        </is>
      </c>
      <c r="Q90" t="inlineStr">
        <is>
          <t>The collections of the National Gallery of Art systematic catalogue</t>
        </is>
      </c>
      <c r="R90" t="inlineStr">
        <is>
          <t xml:space="preserve">NB </t>
        </is>
      </c>
      <c r="S90" t="n">
        <v>1</v>
      </c>
      <c r="T90" t="n">
        <v>1</v>
      </c>
      <c r="U90" t="inlineStr">
        <is>
          <t>2009-04-14</t>
        </is>
      </c>
      <c r="V90" t="inlineStr">
        <is>
          <t>2009-04-14</t>
        </is>
      </c>
      <c r="W90" t="inlineStr">
        <is>
          <t>2009-04-14</t>
        </is>
      </c>
      <c r="X90" t="inlineStr">
        <is>
          <t>2009-04-14</t>
        </is>
      </c>
      <c r="Y90" t="n">
        <v>291</v>
      </c>
      <c r="Z90" t="n">
        <v>244</v>
      </c>
      <c r="AA90" t="n">
        <v>245</v>
      </c>
      <c r="AB90" t="n">
        <v>3</v>
      </c>
      <c r="AC90" t="n">
        <v>3</v>
      </c>
      <c r="AD90" t="n">
        <v>10</v>
      </c>
      <c r="AE90" t="n">
        <v>10</v>
      </c>
      <c r="AF90" t="n">
        <v>2</v>
      </c>
      <c r="AG90" t="n">
        <v>2</v>
      </c>
      <c r="AH90" t="n">
        <v>3</v>
      </c>
      <c r="AI90" t="n">
        <v>3</v>
      </c>
      <c r="AJ90" t="n">
        <v>7</v>
      </c>
      <c r="AK90" t="n">
        <v>7</v>
      </c>
      <c r="AL90" t="n">
        <v>1</v>
      </c>
      <c r="AM90" t="n">
        <v>1</v>
      </c>
      <c r="AN90" t="n">
        <v>0</v>
      </c>
      <c r="AO90" t="n">
        <v>0</v>
      </c>
      <c r="AP90" t="inlineStr">
        <is>
          <t>No</t>
        </is>
      </c>
      <c r="AQ90" t="inlineStr">
        <is>
          <t>Yes</t>
        </is>
      </c>
      <c r="AR90">
        <f>HYPERLINK("http://catalog.hathitrust.org/Record/008510743","HathiTrust Record")</f>
        <v/>
      </c>
      <c r="AS90">
        <f>HYPERLINK("https://creighton-primo.hosted.exlibrisgroup.com/primo-explore/search?tab=default_tab&amp;search_scope=EVERYTHING&amp;vid=01CRU&amp;lang=en_US&amp;offset=0&amp;query=any,contains,991005305679702656","Catalog Record")</f>
        <v/>
      </c>
      <c r="AT90">
        <f>HYPERLINK("http://www.worldcat.org/oclc/44076061","WorldCat Record")</f>
        <v/>
      </c>
      <c r="AU90" t="inlineStr">
        <is>
          <t>353617211:eng</t>
        </is>
      </c>
      <c r="AV90" t="inlineStr">
        <is>
          <t>44076061</t>
        </is>
      </c>
      <c r="AW90" t="inlineStr">
        <is>
          <t>991005305679702656</t>
        </is>
      </c>
      <c r="AX90" t="inlineStr">
        <is>
          <t>991005305679702656</t>
        </is>
      </c>
      <c r="AY90" t="inlineStr">
        <is>
          <t>2267347010002656</t>
        </is>
      </c>
      <c r="AZ90" t="inlineStr">
        <is>
          <t>BOOK</t>
        </is>
      </c>
      <c r="BB90" t="inlineStr">
        <is>
          <t>9780894682537</t>
        </is>
      </c>
      <c r="BC90" t="inlineStr">
        <is>
          <t>32285005515381</t>
        </is>
      </c>
      <c r="BD90" t="inlineStr">
        <is>
          <t>893688931</t>
        </is>
      </c>
    </row>
    <row r="91">
      <c r="A91" t="inlineStr">
        <is>
          <t>No</t>
        </is>
      </c>
      <c r="B91" t="inlineStr">
        <is>
          <t>NB463 .G27</t>
        </is>
      </c>
      <c r="C91" t="inlineStr">
        <is>
          <t>0                      NB 0463000G  27</t>
        </is>
      </c>
      <c r="D91" t="inlineStr">
        <is>
          <t>A handbook of English medieval sculpture / by Arthur Gardner ...</t>
        </is>
      </c>
      <c r="F91" t="inlineStr">
        <is>
          <t>No</t>
        </is>
      </c>
      <c r="G91" t="inlineStr">
        <is>
          <t>1</t>
        </is>
      </c>
      <c r="H91" t="inlineStr">
        <is>
          <t>No</t>
        </is>
      </c>
      <c r="I91" t="inlineStr">
        <is>
          <t>No</t>
        </is>
      </c>
      <c r="J91" t="inlineStr">
        <is>
          <t>0</t>
        </is>
      </c>
      <c r="K91" t="inlineStr">
        <is>
          <t>Gardner, Arthur, 1878-1972.</t>
        </is>
      </c>
      <c r="L91" t="inlineStr">
        <is>
          <t>Cambridge, [Eng.] : The University Press, 1935.</t>
        </is>
      </c>
      <c r="M91" t="inlineStr">
        <is>
          <t>1935</t>
        </is>
      </c>
      <c r="O91" t="inlineStr">
        <is>
          <t>eng</t>
        </is>
      </c>
      <c r="P91" t="inlineStr">
        <is>
          <t>enk</t>
        </is>
      </c>
      <c r="R91" t="inlineStr">
        <is>
          <t xml:space="preserve">NB </t>
        </is>
      </c>
      <c r="S91" t="n">
        <v>2</v>
      </c>
      <c r="T91" t="n">
        <v>2</v>
      </c>
      <c r="U91" t="inlineStr">
        <is>
          <t>1997-10-24</t>
        </is>
      </c>
      <c r="V91" t="inlineStr">
        <is>
          <t>1997-10-24</t>
        </is>
      </c>
      <c r="W91" t="inlineStr">
        <is>
          <t>1993-05-14</t>
        </is>
      </c>
      <c r="X91" t="inlineStr">
        <is>
          <t>1993-05-14</t>
        </is>
      </c>
      <c r="Y91" t="n">
        <v>200</v>
      </c>
      <c r="Z91" t="n">
        <v>153</v>
      </c>
      <c r="AA91" t="n">
        <v>234</v>
      </c>
      <c r="AB91" t="n">
        <v>2</v>
      </c>
      <c r="AC91" t="n">
        <v>2</v>
      </c>
      <c r="AD91" t="n">
        <v>8</v>
      </c>
      <c r="AE91" t="n">
        <v>10</v>
      </c>
      <c r="AF91" t="n">
        <v>1</v>
      </c>
      <c r="AG91" t="n">
        <v>1</v>
      </c>
      <c r="AH91" t="n">
        <v>4</v>
      </c>
      <c r="AI91" t="n">
        <v>4</v>
      </c>
      <c r="AJ91" t="n">
        <v>5</v>
      </c>
      <c r="AK91" t="n">
        <v>7</v>
      </c>
      <c r="AL91" t="n">
        <v>1</v>
      </c>
      <c r="AM91" t="n">
        <v>1</v>
      </c>
      <c r="AN91" t="n">
        <v>0</v>
      </c>
      <c r="AO91" t="n">
        <v>0</v>
      </c>
      <c r="AP91" t="inlineStr">
        <is>
          <t>No</t>
        </is>
      </c>
      <c r="AQ91" t="inlineStr">
        <is>
          <t>Yes</t>
        </is>
      </c>
      <c r="AR91">
        <f>HYPERLINK("http://catalog.hathitrust.org/Record/102622181","HathiTrust Record")</f>
        <v/>
      </c>
      <c r="AS91">
        <f>HYPERLINK("https://creighton-primo.hosted.exlibrisgroup.com/primo-explore/search?tab=default_tab&amp;search_scope=EVERYTHING&amp;vid=01CRU&amp;lang=en_US&amp;offset=0&amp;query=any,contains,991003577119702656","Catalog Record")</f>
        <v/>
      </c>
      <c r="AT91">
        <f>HYPERLINK("http://www.worldcat.org/oclc/1156578","WorldCat Record")</f>
        <v/>
      </c>
      <c r="AU91" t="inlineStr">
        <is>
          <t>3855350260:eng</t>
        </is>
      </c>
      <c r="AV91" t="inlineStr">
        <is>
          <t>1156578</t>
        </is>
      </c>
      <c r="AW91" t="inlineStr">
        <is>
          <t>991003577119702656</t>
        </is>
      </c>
      <c r="AX91" t="inlineStr">
        <is>
          <t>991003577119702656</t>
        </is>
      </c>
      <c r="AY91" t="inlineStr">
        <is>
          <t>2262851920002656</t>
        </is>
      </c>
      <c r="AZ91" t="inlineStr">
        <is>
          <t>BOOK</t>
        </is>
      </c>
      <c r="BC91" t="inlineStr">
        <is>
          <t>32285001656338</t>
        </is>
      </c>
      <c r="BD91" t="inlineStr">
        <is>
          <t>893518636</t>
        </is>
      </c>
    </row>
    <row r="92">
      <c r="A92" t="inlineStr">
        <is>
          <t>No</t>
        </is>
      </c>
      <c r="B92" t="inlineStr">
        <is>
          <t>NB467.5.P7 P74 1991</t>
        </is>
      </c>
      <c r="C92" t="inlineStr">
        <is>
          <t>0                      NB 0467500P  7                  P  74          1991</t>
        </is>
      </c>
      <c r="D92" t="inlineStr">
        <is>
          <t>Pre-Raphaelite sculpture : nature and imagination in British sculpture, 1848-1914 / edited by Benedict Read and Joanna Barnes ; with contributions by John Christian ... [et al.].</t>
        </is>
      </c>
      <c r="F92" t="inlineStr">
        <is>
          <t>No</t>
        </is>
      </c>
      <c r="G92" t="inlineStr">
        <is>
          <t>1</t>
        </is>
      </c>
      <c r="H92" t="inlineStr">
        <is>
          <t>No</t>
        </is>
      </c>
      <c r="I92" t="inlineStr">
        <is>
          <t>No</t>
        </is>
      </c>
      <c r="J92" t="inlineStr">
        <is>
          <t>0</t>
        </is>
      </c>
      <c r="L92" t="inlineStr">
        <is>
          <t>London : Henry Moore Foundation in association with Lund Humphries, 1991.</t>
        </is>
      </c>
      <c r="M92" t="inlineStr">
        <is>
          <t>1991</t>
        </is>
      </c>
      <c r="N92" t="inlineStr">
        <is>
          <t>1st ed.</t>
        </is>
      </c>
      <c r="O92" t="inlineStr">
        <is>
          <t>eng</t>
        </is>
      </c>
      <c r="P92" t="inlineStr">
        <is>
          <t>enk</t>
        </is>
      </c>
      <c r="R92" t="inlineStr">
        <is>
          <t xml:space="preserve">NB </t>
        </is>
      </c>
      <c r="S92" t="n">
        <v>2</v>
      </c>
      <c r="T92" t="n">
        <v>2</v>
      </c>
      <c r="U92" t="inlineStr">
        <is>
          <t>2008-03-10</t>
        </is>
      </c>
      <c r="V92" t="inlineStr">
        <is>
          <t>2008-03-10</t>
        </is>
      </c>
      <c r="W92" t="inlineStr">
        <is>
          <t>1994-05-24</t>
        </is>
      </c>
      <c r="X92" t="inlineStr">
        <is>
          <t>1994-05-24</t>
        </is>
      </c>
      <c r="Y92" t="n">
        <v>299</v>
      </c>
      <c r="Z92" t="n">
        <v>173</v>
      </c>
      <c r="AA92" t="n">
        <v>179</v>
      </c>
      <c r="AB92" t="n">
        <v>2</v>
      </c>
      <c r="AC92" t="n">
        <v>2</v>
      </c>
      <c r="AD92" t="n">
        <v>5</v>
      </c>
      <c r="AE92" t="n">
        <v>5</v>
      </c>
      <c r="AF92" t="n">
        <v>0</v>
      </c>
      <c r="AG92" t="n">
        <v>0</v>
      </c>
      <c r="AH92" t="n">
        <v>2</v>
      </c>
      <c r="AI92" t="n">
        <v>2</v>
      </c>
      <c r="AJ92" t="n">
        <v>3</v>
      </c>
      <c r="AK92" t="n">
        <v>3</v>
      </c>
      <c r="AL92" t="n">
        <v>1</v>
      </c>
      <c r="AM92" t="n">
        <v>1</v>
      </c>
      <c r="AN92" t="n">
        <v>0</v>
      </c>
      <c r="AO92" t="n">
        <v>0</v>
      </c>
      <c r="AP92" t="inlineStr">
        <is>
          <t>No</t>
        </is>
      </c>
      <c r="AQ92" t="inlineStr">
        <is>
          <t>Yes</t>
        </is>
      </c>
      <c r="AR92">
        <f>HYPERLINK("http://catalog.hathitrust.org/Record/002543608","HathiTrust Record")</f>
        <v/>
      </c>
      <c r="AS92">
        <f>HYPERLINK("https://creighton-primo.hosted.exlibrisgroup.com/primo-explore/search?tab=default_tab&amp;search_scope=EVERYTHING&amp;vid=01CRU&amp;lang=en_US&amp;offset=0&amp;query=any,contains,991002087859702656","Catalog Record")</f>
        <v/>
      </c>
      <c r="AT92">
        <f>HYPERLINK("http://www.worldcat.org/oclc/26800011","WorldCat Record")</f>
        <v/>
      </c>
      <c r="AU92" t="inlineStr">
        <is>
          <t>836842167:eng</t>
        </is>
      </c>
      <c r="AV92" t="inlineStr">
        <is>
          <t>26800011</t>
        </is>
      </c>
      <c r="AW92" t="inlineStr">
        <is>
          <t>991002087859702656</t>
        </is>
      </c>
      <c r="AX92" t="inlineStr">
        <is>
          <t>991002087859702656</t>
        </is>
      </c>
      <c r="AY92" t="inlineStr">
        <is>
          <t>2260072800002656</t>
        </is>
      </c>
      <c r="AZ92" t="inlineStr">
        <is>
          <t>BOOK</t>
        </is>
      </c>
      <c r="BB92" t="inlineStr">
        <is>
          <t>9780853316091</t>
        </is>
      </c>
      <c r="BC92" t="inlineStr">
        <is>
          <t>32285001898393</t>
        </is>
      </c>
      <c r="BD92" t="inlineStr">
        <is>
          <t>893529529</t>
        </is>
      </c>
    </row>
    <row r="93">
      <c r="A93" t="inlineStr">
        <is>
          <t>No</t>
        </is>
      </c>
      <c r="B93" t="inlineStr">
        <is>
          <t>NB468 .Q54 1987</t>
        </is>
      </c>
      <c r="C93" t="inlineStr">
        <is>
          <t>0                      NB 0468000Q  54          1987</t>
        </is>
      </c>
      <c r="D93" t="inlineStr">
        <is>
          <t>A Quiet revolution, British sculpture since 1965 / essays by Graham Beal, Lynne Cooke, Charles Harrison, Mary Jane Jacob ; Terry A. Neff, editor.</t>
        </is>
      </c>
      <c r="F93" t="inlineStr">
        <is>
          <t>No</t>
        </is>
      </c>
      <c r="G93" t="inlineStr">
        <is>
          <t>1</t>
        </is>
      </c>
      <c r="H93" t="inlineStr">
        <is>
          <t>No</t>
        </is>
      </c>
      <c r="I93" t="inlineStr">
        <is>
          <t>No</t>
        </is>
      </c>
      <c r="J93" t="inlineStr">
        <is>
          <t>0</t>
        </is>
      </c>
      <c r="L93" t="inlineStr">
        <is>
          <t>London ; New York : Thames and Hudson, c1987.</t>
        </is>
      </c>
      <c r="M93" t="inlineStr">
        <is>
          <t>1986</t>
        </is>
      </c>
      <c r="O93" t="inlineStr">
        <is>
          <t>eng</t>
        </is>
      </c>
      <c r="P93" t="inlineStr">
        <is>
          <t>enk</t>
        </is>
      </c>
      <c r="R93" t="inlineStr">
        <is>
          <t xml:space="preserve">NB </t>
        </is>
      </c>
      <c r="S93" t="n">
        <v>8</v>
      </c>
      <c r="T93" t="n">
        <v>8</v>
      </c>
      <c r="U93" t="inlineStr">
        <is>
          <t>1998-11-06</t>
        </is>
      </c>
      <c r="V93" t="inlineStr">
        <is>
          <t>1998-11-06</t>
        </is>
      </c>
      <c r="W93" t="inlineStr">
        <is>
          <t>1993-05-18</t>
        </is>
      </c>
      <c r="X93" t="inlineStr">
        <is>
          <t>1993-05-18</t>
        </is>
      </c>
      <c r="Y93" t="n">
        <v>529</v>
      </c>
      <c r="Z93" t="n">
        <v>364</v>
      </c>
      <c r="AA93" t="n">
        <v>468</v>
      </c>
      <c r="AB93" t="n">
        <v>3</v>
      </c>
      <c r="AC93" t="n">
        <v>4</v>
      </c>
      <c r="AD93" t="n">
        <v>12</v>
      </c>
      <c r="AE93" t="n">
        <v>15</v>
      </c>
      <c r="AF93" t="n">
        <v>2</v>
      </c>
      <c r="AG93" t="n">
        <v>4</v>
      </c>
      <c r="AH93" t="n">
        <v>4</v>
      </c>
      <c r="AI93" t="n">
        <v>4</v>
      </c>
      <c r="AJ93" t="n">
        <v>8</v>
      </c>
      <c r="AK93" t="n">
        <v>8</v>
      </c>
      <c r="AL93" t="n">
        <v>1</v>
      </c>
      <c r="AM93" t="n">
        <v>2</v>
      </c>
      <c r="AN93" t="n">
        <v>0</v>
      </c>
      <c r="AO93" t="n">
        <v>0</v>
      </c>
      <c r="AP93" t="inlineStr">
        <is>
          <t>No</t>
        </is>
      </c>
      <c r="AQ93" t="inlineStr">
        <is>
          <t>Yes</t>
        </is>
      </c>
      <c r="AR93">
        <f>HYPERLINK("http://catalog.hathitrust.org/Record/000818558","HathiTrust Record")</f>
        <v/>
      </c>
      <c r="AS93">
        <f>HYPERLINK("https://creighton-primo.hosted.exlibrisgroup.com/primo-explore/search?tab=default_tab&amp;search_scope=EVERYTHING&amp;vid=01CRU&amp;lang=en_US&amp;offset=0&amp;query=any,contains,991000877199702656","Catalog Record")</f>
        <v/>
      </c>
      <c r="AT93">
        <f>HYPERLINK("http://www.worldcat.org/oclc/13820875","WorldCat Record")</f>
        <v/>
      </c>
      <c r="AU93" t="inlineStr">
        <is>
          <t>365520871:eng</t>
        </is>
      </c>
      <c r="AV93" t="inlineStr">
        <is>
          <t>13820875</t>
        </is>
      </c>
      <c r="AW93" t="inlineStr">
        <is>
          <t>991000877199702656</t>
        </is>
      </c>
      <c r="AX93" t="inlineStr">
        <is>
          <t>991000877199702656</t>
        </is>
      </c>
      <c r="AY93" t="inlineStr">
        <is>
          <t>2268220720002656</t>
        </is>
      </c>
      <c r="AZ93" t="inlineStr">
        <is>
          <t>BOOK</t>
        </is>
      </c>
      <c r="BB93" t="inlineStr">
        <is>
          <t>9780933856240</t>
        </is>
      </c>
      <c r="BC93" t="inlineStr">
        <is>
          <t>32285001659290</t>
        </is>
      </c>
      <c r="BD93" t="inlineStr">
        <is>
          <t>893614574</t>
        </is>
      </c>
    </row>
    <row r="94">
      <c r="A94" t="inlineStr">
        <is>
          <t>No</t>
        </is>
      </c>
      <c r="B94" t="inlineStr">
        <is>
          <t>NB497.G64 A4 1993</t>
        </is>
      </c>
      <c r="C94" t="inlineStr">
        <is>
          <t>0                      NB 0497000G  64                 A  4           1993</t>
        </is>
      </c>
      <c r="D94" t="inlineStr">
        <is>
          <t>Hand to earth : Andy Goldsworthy sculpture, 1976-1990 / [edited by Terry Friedman and Andy Goldsworthy].</t>
        </is>
      </c>
      <c r="F94" t="inlineStr">
        <is>
          <t>No</t>
        </is>
      </c>
      <c r="G94" t="inlineStr">
        <is>
          <t>1</t>
        </is>
      </c>
      <c r="H94" t="inlineStr">
        <is>
          <t>No</t>
        </is>
      </c>
      <c r="I94" t="inlineStr">
        <is>
          <t>No</t>
        </is>
      </c>
      <c r="J94" t="inlineStr">
        <is>
          <t>0</t>
        </is>
      </c>
      <c r="K94" t="inlineStr">
        <is>
          <t>Goldsworthy, Andy, 1956-</t>
        </is>
      </c>
      <c r="L94" t="inlineStr">
        <is>
          <t>New York : H.N. Abrams, 1993.</t>
        </is>
      </c>
      <c r="M94" t="inlineStr">
        <is>
          <t>1993</t>
        </is>
      </c>
      <c r="O94" t="inlineStr">
        <is>
          <t>eng</t>
        </is>
      </c>
      <c r="P94" t="inlineStr">
        <is>
          <t>nyu</t>
        </is>
      </c>
      <c r="R94" t="inlineStr">
        <is>
          <t xml:space="preserve">NB </t>
        </is>
      </c>
      <c r="S94" t="n">
        <v>23</v>
      </c>
      <c r="T94" t="n">
        <v>23</v>
      </c>
      <c r="U94" t="inlineStr">
        <is>
          <t>2005-10-27</t>
        </is>
      </c>
      <c r="V94" t="inlineStr">
        <is>
          <t>2005-10-27</t>
        </is>
      </c>
      <c r="W94" t="inlineStr">
        <is>
          <t>1994-06-02</t>
        </is>
      </c>
      <c r="X94" t="inlineStr">
        <is>
          <t>1994-06-02</t>
        </is>
      </c>
      <c r="Y94" t="n">
        <v>547</v>
      </c>
      <c r="Z94" t="n">
        <v>469</v>
      </c>
      <c r="AA94" t="n">
        <v>471</v>
      </c>
      <c r="AB94" t="n">
        <v>3</v>
      </c>
      <c r="AC94" t="n">
        <v>3</v>
      </c>
      <c r="AD94" t="n">
        <v>14</v>
      </c>
      <c r="AE94" t="n">
        <v>14</v>
      </c>
      <c r="AF94" t="n">
        <v>4</v>
      </c>
      <c r="AG94" t="n">
        <v>4</v>
      </c>
      <c r="AH94" t="n">
        <v>3</v>
      </c>
      <c r="AI94" t="n">
        <v>3</v>
      </c>
      <c r="AJ94" t="n">
        <v>7</v>
      </c>
      <c r="AK94" t="n">
        <v>7</v>
      </c>
      <c r="AL94" t="n">
        <v>2</v>
      </c>
      <c r="AM94" t="n">
        <v>2</v>
      </c>
      <c r="AN94" t="n">
        <v>0</v>
      </c>
      <c r="AO94" t="n">
        <v>0</v>
      </c>
      <c r="AP94" t="inlineStr">
        <is>
          <t>No</t>
        </is>
      </c>
      <c r="AQ94" t="inlineStr">
        <is>
          <t>Yes</t>
        </is>
      </c>
      <c r="AR94">
        <f>HYPERLINK("http://catalog.hathitrust.org/Record/008510419","HathiTrust Record")</f>
        <v/>
      </c>
      <c r="AS94">
        <f>HYPERLINK("https://creighton-primo.hosted.exlibrisgroup.com/primo-explore/search?tab=default_tab&amp;search_scope=EVERYTHING&amp;vid=01CRU&amp;lang=en_US&amp;offset=0&amp;query=any,contains,991002145169702656","Catalog Record")</f>
        <v/>
      </c>
      <c r="AT94">
        <f>HYPERLINK("http://www.worldcat.org/oclc/27641187","WorldCat Record")</f>
        <v/>
      </c>
      <c r="AU94" t="inlineStr">
        <is>
          <t>8908006701:eng</t>
        </is>
      </c>
      <c r="AV94" t="inlineStr">
        <is>
          <t>27641187</t>
        </is>
      </c>
      <c r="AW94" t="inlineStr">
        <is>
          <t>991002145169702656</t>
        </is>
      </c>
      <c r="AX94" t="inlineStr">
        <is>
          <t>991002145169702656</t>
        </is>
      </c>
      <c r="AY94" t="inlineStr">
        <is>
          <t>2255441230002656</t>
        </is>
      </c>
      <c r="AZ94" t="inlineStr">
        <is>
          <t>BOOK</t>
        </is>
      </c>
      <c r="BB94" t="inlineStr">
        <is>
          <t>9780810934207</t>
        </is>
      </c>
      <c r="BC94" t="inlineStr">
        <is>
          <t>32285001920643</t>
        </is>
      </c>
      <c r="BD94" t="inlineStr">
        <is>
          <t>893879546</t>
        </is>
      </c>
    </row>
    <row r="95">
      <c r="A95" t="inlineStr">
        <is>
          <t>No</t>
        </is>
      </c>
      <c r="B95" t="inlineStr">
        <is>
          <t>NB497.H4 A43</t>
        </is>
      </c>
      <c r="C95" t="inlineStr">
        <is>
          <t>0                      NB 0497000H  4                  A  43</t>
        </is>
      </c>
      <c r="D95" t="inlineStr">
        <is>
          <t>Barbara Hepworth: [catalogue of an exhibition at] the Tate Gallery, 3 April-19 May 1968; [with contributions by Ronald Alley, Nicolete Gray, R. W. D. Oxenaar].</t>
        </is>
      </c>
      <c r="F95" t="inlineStr">
        <is>
          <t>No</t>
        </is>
      </c>
      <c r="G95" t="inlineStr">
        <is>
          <t>1</t>
        </is>
      </c>
      <c r="H95" t="inlineStr">
        <is>
          <t>No</t>
        </is>
      </c>
      <c r="I95" t="inlineStr">
        <is>
          <t>No</t>
        </is>
      </c>
      <c r="J95" t="inlineStr">
        <is>
          <t>0</t>
        </is>
      </c>
      <c r="K95" t="inlineStr">
        <is>
          <t>Hepworth, Barbara, 1903-1975.</t>
        </is>
      </c>
      <c r="L95" t="inlineStr">
        <is>
          <t>London, Tate Gallery Publications Dept., 1968.</t>
        </is>
      </c>
      <c r="M95" t="inlineStr">
        <is>
          <t>1968</t>
        </is>
      </c>
      <c r="O95" t="inlineStr">
        <is>
          <t>eng</t>
        </is>
      </c>
      <c r="P95" t="inlineStr">
        <is>
          <t>enk</t>
        </is>
      </c>
      <c r="R95" t="inlineStr">
        <is>
          <t xml:space="preserve">NB </t>
        </is>
      </c>
      <c r="S95" t="n">
        <v>6</v>
      </c>
      <c r="T95" t="n">
        <v>6</v>
      </c>
      <c r="U95" t="inlineStr">
        <is>
          <t>1998-12-11</t>
        </is>
      </c>
      <c r="V95" t="inlineStr">
        <is>
          <t>1998-12-11</t>
        </is>
      </c>
      <c r="W95" t="inlineStr">
        <is>
          <t>1997-07-03</t>
        </is>
      </c>
      <c r="X95" t="inlineStr">
        <is>
          <t>1997-07-03</t>
        </is>
      </c>
      <c r="Y95" t="n">
        <v>451</v>
      </c>
      <c r="Z95" t="n">
        <v>380</v>
      </c>
      <c r="AA95" t="n">
        <v>412</v>
      </c>
      <c r="AB95" t="n">
        <v>3</v>
      </c>
      <c r="AC95" t="n">
        <v>3</v>
      </c>
      <c r="AD95" t="n">
        <v>7</v>
      </c>
      <c r="AE95" t="n">
        <v>7</v>
      </c>
      <c r="AF95" t="n">
        <v>2</v>
      </c>
      <c r="AG95" t="n">
        <v>2</v>
      </c>
      <c r="AH95" t="n">
        <v>1</v>
      </c>
      <c r="AI95" t="n">
        <v>1</v>
      </c>
      <c r="AJ95" t="n">
        <v>2</v>
      </c>
      <c r="AK95" t="n">
        <v>2</v>
      </c>
      <c r="AL95" t="n">
        <v>2</v>
      </c>
      <c r="AM95" t="n">
        <v>2</v>
      </c>
      <c r="AN95" t="n">
        <v>0</v>
      </c>
      <c r="AO95" t="n">
        <v>0</v>
      </c>
      <c r="AP95" t="inlineStr">
        <is>
          <t>No</t>
        </is>
      </c>
      <c r="AQ95" t="inlineStr">
        <is>
          <t>Yes</t>
        </is>
      </c>
      <c r="AR95">
        <f>HYPERLINK("http://catalog.hathitrust.org/Record/001981565","HathiTrust Record")</f>
        <v/>
      </c>
      <c r="AS95">
        <f>HYPERLINK("https://creighton-primo.hosted.exlibrisgroup.com/primo-explore/search?tab=default_tab&amp;search_scope=EVERYTHING&amp;vid=01CRU&amp;lang=en_US&amp;offset=0&amp;query=any,contains,991002817029702656","Catalog Record")</f>
        <v/>
      </c>
      <c r="AT95">
        <f>HYPERLINK("http://www.worldcat.org/oclc/461197","WorldCat Record")</f>
        <v/>
      </c>
      <c r="AU95" t="inlineStr">
        <is>
          <t>1155721109:eng</t>
        </is>
      </c>
      <c r="AV95" t="inlineStr">
        <is>
          <t>461197</t>
        </is>
      </c>
      <c r="AW95" t="inlineStr">
        <is>
          <t>991002817029702656</t>
        </is>
      </c>
      <c r="AX95" t="inlineStr">
        <is>
          <t>991002817029702656</t>
        </is>
      </c>
      <c r="AY95" t="inlineStr">
        <is>
          <t>2259472080002656</t>
        </is>
      </c>
      <c r="AZ95" t="inlineStr">
        <is>
          <t>BOOK</t>
        </is>
      </c>
      <c r="BC95" t="inlineStr">
        <is>
          <t>32285002863701</t>
        </is>
      </c>
      <c r="BD95" t="inlineStr">
        <is>
          <t>893886763</t>
        </is>
      </c>
    </row>
    <row r="96">
      <c r="A96" t="inlineStr">
        <is>
          <t>No</t>
        </is>
      </c>
      <c r="B96" t="inlineStr">
        <is>
          <t>NB497.H4 H413 1968b</t>
        </is>
      </c>
      <c r="C96" t="inlineStr">
        <is>
          <t>0                      NB 0497000H  4                  H  413         1968b</t>
        </is>
      </c>
      <c r="D96" t="inlineStr">
        <is>
          <t>The sculpture of Barbara Hepworth / [by] A. M. Hammacher. [Translated from the Dutch by James Brockway]</t>
        </is>
      </c>
      <c r="F96" t="inlineStr">
        <is>
          <t>No</t>
        </is>
      </c>
      <c r="G96" t="inlineStr">
        <is>
          <t>1</t>
        </is>
      </c>
      <c r="H96" t="inlineStr">
        <is>
          <t>No</t>
        </is>
      </c>
      <c r="I96" t="inlineStr">
        <is>
          <t>No</t>
        </is>
      </c>
      <c r="J96" t="inlineStr">
        <is>
          <t>0</t>
        </is>
      </c>
      <c r="K96" t="inlineStr">
        <is>
          <t>Hammacher, Abraham Marie, 1897-2002.</t>
        </is>
      </c>
      <c r="L96" t="inlineStr">
        <is>
          <t>New York : H. N. Abrams, [1968]</t>
        </is>
      </c>
      <c r="M96" t="inlineStr">
        <is>
          <t>1968</t>
        </is>
      </c>
      <c r="O96" t="inlineStr">
        <is>
          <t>eng</t>
        </is>
      </c>
      <c r="P96" t="inlineStr">
        <is>
          <t>nyu</t>
        </is>
      </c>
      <c r="R96" t="inlineStr">
        <is>
          <t xml:space="preserve">NB </t>
        </is>
      </c>
      <c r="S96" t="n">
        <v>8</v>
      </c>
      <c r="T96" t="n">
        <v>8</v>
      </c>
      <c r="U96" t="inlineStr">
        <is>
          <t>1998-12-11</t>
        </is>
      </c>
      <c r="V96" t="inlineStr">
        <is>
          <t>1998-12-11</t>
        </is>
      </c>
      <c r="W96" t="inlineStr">
        <is>
          <t>1991-09-06</t>
        </is>
      </c>
      <c r="X96" t="inlineStr">
        <is>
          <t>1991-09-06</t>
        </is>
      </c>
      <c r="Y96" t="n">
        <v>525</v>
      </c>
      <c r="Z96" t="n">
        <v>479</v>
      </c>
      <c r="AA96" t="n">
        <v>480</v>
      </c>
      <c r="AB96" t="n">
        <v>4</v>
      </c>
      <c r="AC96" t="n">
        <v>4</v>
      </c>
      <c r="AD96" t="n">
        <v>21</v>
      </c>
      <c r="AE96" t="n">
        <v>21</v>
      </c>
      <c r="AF96" t="n">
        <v>7</v>
      </c>
      <c r="AG96" t="n">
        <v>7</v>
      </c>
      <c r="AH96" t="n">
        <v>6</v>
      </c>
      <c r="AI96" t="n">
        <v>6</v>
      </c>
      <c r="AJ96" t="n">
        <v>8</v>
      </c>
      <c r="AK96" t="n">
        <v>8</v>
      </c>
      <c r="AL96" t="n">
        <v>3</v>
      </c>
      <c r="AM96" t="n">
        <v>3</v>
      </c>
      <c r="AN96" t="n">
        <v>0</v>
      </c>
      <c r="AO96" t="n">
        <v>0</v>
      </c>
      <c r="AP96" t="inlineStr">
        <is>
          <t>No</t>
        </is>
      </c>
      <c r="AQ96" t="inlineStr">
        <is>
          <t>No</t>
        </is>
      </c>
      <c r="AS96">
        <f>HYPERLINK("https://creighton-primo.hosted.exlibrisgroup.com/primo-explore/search?tab=default_tab&amp;search_scope=EVERYTHING&amp;vid=01CRU&amp;lang=en_US&amp;offset=0&amp;query=any,contains,991002787909702656","Catalog Record")</f>
        <v/>
      </c>
      <c r="AT96">
        <f>HYPERLINK("http://www.worldcat.org/oclc/442349","WorldCat Record")</f>
        <v/>
      </c>
      <c r="AU96" t="inlineStr">
        <is>
          <t>3857358343:eng</t>
        </is>
      </c>
      <c r="AV96" t="inlineStr">
        <is>
          <t>442349</t>
        </is>
      </c>
      <c r="AW96" t="inlineStr">
        <is>
          <t>991002787909702656</t>
        </is>
      </c>
      <c r="AX96" t="inlineStr">
        <is>
          <t>991002787909702656</t>
        </is>
      </c>
      <c r="AY96" t="inlineStr">
        <is>
          <t>2255996970002656</t>
        </is>
      </c>
      <c r="AZ96" t="inlineStr">
        <is>
          <t>BOOK</t>
        </is>
      </c>
      <c r="BC96" t="inlineStr">
        <is>
          <t>32285000733955</t>
        </is>
      </c>
      <c r="BD96" t="inlineStr">
        <is>
          <t>893530472</t>
        </is>
      </c>
    </row>
    <row r="97">
      <c r="A97" t="inlineStr">
        <is>
          <t>No</t>
        </is>
      </c>
      <c r="B97" t="inlineStr">
        <is>
          <t>NB497.M6 A35 1967</t>
        </is>
      </c>
      <c r="C97" t="inlineStr">
        <is>
          <t>0                      NB 0497000M  6                  A  35          1967</t>
        </is>
      </c>
      <c r="D97" t="inlineStr">
        <is>
          <t>Henry Moore on sculpture / a collection of the sculptor's writings and spoken words edited, with an introd., by Philip James.</t>
        </is>
      </c>
      <c r="F97" t="inlineStr">
        <is>
          <t>No</t>
        </is>
      </c>
      <c r="G97" t="inlineStr">
        <is>
          <t>1</t>
        </is>
      </c>
      <c r="H97" t="inlineStr">
        <is>
          <t>No</t>
        </is>
      </c>
      <c r="I97" t="inlineStr">
        <is>
          <t>No</t>
        </is>
      </c>
      <c r="J97" t="inlineStr">
        <is>
          <t>0</t>
        </is>
      </c>
      <c r="K97" t="inlineStr">
        <is>
          <t>Moore, Henry, 1898-1986.</t>
        </is>
      </c>
      <c r="L97" t="inlineStr">
        <is>
          <t>New York : Viking Press, [1967]</t>
        </is>
      </c>
      <c r="M97" t="inlineStr">
        <is>
          <t>1967</t>
        </is>
      </c>
      <c r="O97" t="inlineStr">
        <is>
          <t>eng</t>
        </is>
      </c>
      <c r="P97" t="inlineStr">
        <is>
          <t>nyu</t>
        </is>
      </c>
      <c r="Q97" t="inlineStr">
        <is>
          <t>A Studio book</t>
        </is>
      </c>
      <c r="R97" t="inlineStr">
        <is>
          <t xml:space="preserve">NB </t>
        </is>
      </c>
      <c r="S97" t="n">
        <v>12</v>
      </c>
      <c r="T97" t="n">
        <v>12</v>
      </c>
      <c r="U97" t="inlineStr">
        <is>
          <t>2008-12-05</t>
        </is>
      </c>
      <c r="V97" t="inlineStr">
        <is>
          <t>2008-12-05</t>
        </is>
      </c>
      <c r="W97" t="inlineStr">
        <is>
          <t>1990-05-22</t>
        </is>
      </c>
      <c r="X97" t="inlineStr">
        <is>
          <t>1990-05-22</t>
        </is>
      </c>
      <c r="Y97" t="n">
        <v>608</v>
      </c>
      <c r="Z97" t="n">
        <v>575</v>
      </c>
      <c r="AA97" t="n">
        <v>782</v>
      </c>
      <c r="AB97" t="n">
        <v>3</v>
      </c>
      <c r="AC97" t="n">
        <v>5</v>
      </c>
      <c r="AD97" t="n">
        <v>14</v>
      </c>
      <c r="AE97" t="n">
        <v>22</v>
      </c>
      <c r="AF97" t="n">
        <v>6</v>
      </c>
      <c r="AG97" t="n">
        <v>9</v>
      </c>
      <c r="AH97" t="n">
        <v>2</v>
      </c>
      <c r="AI97" t="n">
        <v>3</v>
      </c>
      <c r="AJ97" t="n">
        <v>8</v>
      </c>
      <c r="AK97" t="n">
        <v>12</v>
      </c>
      <c r="AL97" t="n">
        <v>2</v>
      </c>
      <c r="AM97" t="n">
        <v>3</v>
      </c>
      <c r="AN97" t="n">
        <v>0</v>
      </c>
      <c r="AO97" t="n">
        <v>0</v>
      </c>
      <c r="AP97" t="inlineStr">
        <is>
          <t>No</t>
        </is>
      </c>
      <c r="AQ97" t="inlineStr">
        <is>
          <t>Yes</t>
        </is>
      </c>
      <c r="AR97">
        <f>HYPERLINK("http://catalog.hathitrust.org/Record/001467441","HathiTrust Record")</f>
        <v/>
      </c>
      <c r="AS97">
        <f>HYPERLINK("https://creighton-primo.hosted.exlibrisgroup.com/primo-explore/search?tab=default_tab&amp;search_scope=EVERYTHING&amp;vid=01CRU&amp;lang=en_US&amp;offset=0&amp;query=any,contains,991002095949702656","Catalog Record")</f>
        <v/>
      </c>
      <c r="AT97">
        <f>HYPERLINK("http://www.worldcat.org/oclc/265611","WorldCat Record")</f>
        <v/>
      </c>
      <c r="AU97" t="inlineStr">
        <is>
          <t>4415114319:eng</t>
        </is>
      </c>
      <c r="AV97" t="inlineStr">
        <is>
          <t>265611</t>
        </is>
      </c>
      <c r="AW97" t="inlineStr">
        <is>
          <t>991002095949702656</t>
        </is>
      </c>
      <c r="AX97" t="inlineStr">
        <is>
          <t>991002095949702656</t>
        </is>
      </c>
      <c r="AY97" t="inlineStr">
        <is>
          <t>2267776100002656</t>
        </is>
      </c>
      <c r="AZ97" t="inlineStr">
        <is>
          <t>BOOK</t>
        </is>
      </c>
      <c r="BC97" t="inlineStr">
        <is>
          <t>32285000157338</t>
        </is>
      </c>
      <c r="BD97" t="inlineStr">
        <is>
          <t>893892142</t>
        </is>
      </c>
    </row>
    <row r="98">
      <c r="A98" t="inlineStr">
        <is>
          <t>No</t>
        </is>
      </c>
      <c r="B98" t="inlineStr">
        <is>
          <t>NB497.M6 A4 1981</t>
        </is>
      </c>
      <c r="C98" t="inlineStr">
        <is>
          <t>0                      NB 0497000M  6                  A  4           1981</t>
        </is>
      </c>
      <c r="D98" t="inlineStr">
        <is>
          <t>Henry Moore sculpture / with comments by the artist ; introduction by Franco Russoli ; edited by David Mitchinson.</t>
        </is>
      </c>
      <c r="F98" t="inlineStr">
        <is>
          <t>No</t>
        </is>
      </c>
      <c r="G98" t="inlineStr">
        <is>
          <t>1</t>
        </is>
      </c>
      <c r="H98" t="inlineStr">
        <is>
          <t>No</t>
        </is>
      </c>
      <c r="I98" t="inlineStr">
        <is>
          <t>No</t>
        </is>
      </c>
      <c r="J98" t="inlineStr">
        <is>
          <t>0</t>
        </is>
      </c>
      <c r="K98" t="inlineStr">
        <is>
          <t>Moore, Henry, 1898-1986.</t>
        </is>
      </c>
      <c r="L98" t="inlineStr">
        <is>
          <t>New York : Rizzoli, 1981.</t>
        </is>
      </c>
      <c r="M98" t="inlineStr">
        <is>
          <t>1981</t>
        </is>
      </c>
      <c r="O98" t="inlineStr">
        <is>
          <t>eng</t>
        </is>
      </c>
      <c r="P98" t="inlineStr">
        <is>
          <t>nyu</t>
        </is>
      </c>
      <c r="R98" t="inlineStr">
        <is>
          <t xml:space="preserve">NB </t>
        </is>
      </c>
      <c r="S98" t="n">
        <v>11</v>
      </c>
      <c r="T98" t="n">
        <v>11</v>
      </c>
      <c r="U98" t="inlineStr">
        <is>
          <t>2005-01-17</t>
        </is>
      </c>
      <c r="V98" t="inlineStr">
        <is>
          <t>2005-01-17</t>
        </is>
      </c>
      <c r="W98" t="inlineStr">
        <is>
          <t>1990-05-17</t>
        </is>
      </c>
      <c r="X98" t="inlineStr">
        <is>
          <t>1990-05-17</t>
        </is>
      </c>
      <c r="Y98" t="n">
        <v>409</v>
      </c>
      <c r="Z98" t="n">
        <v>373</v>
      </c>
      <c r="AA98" t="n">
        <v>424</v>
      </c>
      <c r="AB98" t="n">
        <v>1</v>
      </c>
      <c r="AC98" t="n">
        <v>2</v>
      </c>
      <c r="AD98" t="n">
        <v>16</v>
      </c>
      <c r="AE98" t="n">
        <v>19</v>
      </c>
      <c r="AF98" t="n">
        <v>11</v>
      </c>
      <c r="AG98" t="n">
        <v>12</v>
      </c>
      <c r="AH98" t="n">
        <v>5</v>
      </c>
      <c r="AI98" t="n">
        <v>5</v>
      </c>
      <c r="AJ98" t="n">
        <v>5</v>
      </c>
      <c r="AK98" t="n">
        <v>7</v>
      </c>
      <c r="AL98" t="n">
        <v>0</v>
      </c>
      <c r="AM98" t="n">
        <v>1</v>
      </c>
      <c r="AN98" t="n">
        <v>0</v>
      </c>
      <c r="AO98" t="n">
        <v>0</v>
      </c>
      <c r="AP98" t="inlineStr">
        <is>
          <t>No</t>
        </is>
      </c>
      <c r="AQ98" t="inlineStr">
        <is>
          <t>Yes</t>
        </is>
      </c>
      <c r="AR98">
        <f>HYPERLINK("http://catalog.hathitrust.org/Record/000141386","HathiTrust Record")</f>
        <v/>
      </c>
      <c r="AS98">
        <f>HYPERLINK("https://creighton-primo.hosted.exlibrisgroup.com/primo-explore/search?tab=default_tab&amp;search_scope=EVERYTHING&amp;vid=01CRU&amp;lang=en_US&amp;offset=0&amp;query=any,contains,991005204089702656","Catalog Record")</f>
        <v/>
      </c>
      <c r="AT98">
        <f>HYPERLINK("http://www.worldcat.org/oclc/8110780","WorldCat Record")</f>
        <v/>
      </c>
      <c r="AU98" t="inlineStr">
        <is>
          <t>132739632:eng</t>
        </is>
      </c>
      <c r="AV98" t="inlineStr">
        <is>
          <t>8110780</t>
        </is>
      </c>
      <c r="AW98" t="inlineStr">
        <is>
          <t>991005204089702656</t>
        </is>
      </c>
      <c r="AX98" t="inlineStr">
        <is>
          <t>991005204089702656</t>
        </is>
      </c>
      <c r="AY98" t="inlineStr">
        <is>
          <t>2255865530002656</t>
        </is>
      </c>
      <c r="AZ98" t="inlineStr">
        <is>
          <t>BOOK</t>
        </is>
      </c>
      <c r="BB98" t="inlineStr">
        <is>
          <t>9780847803941</t>
        </is>
      </c>
      <c r="BC98" t="inlineStr">
        <is>
          <t>32285000152818</t>
        </is>
      </c>
      <c r="BD98" t="inlineStr">
        <is>
          <t>893594656</t>
        </is>
      </c>
    </row>
    <row r="99">
      <c r="A99" t="inlineStr">
        <is>
          <t>No</t>
        </is>
      </c>
      <c r="B99" t="inlineStr">
        <is>
          <t>NB497.M6 B4 1987b</t>
        </is>
      </c>
      <c r="C99" t="inlineStr">
        <is>
          <t>0                      NB 0497000M  6                  B  4           1987b</t>
        </is>
      </c>
      <c r="D99" t="inlineStr">
        <is>
          <t>The life of Henry Moore / Roger Berthoud.</t>
        </is>
      </c>
      <c r="F99" t="inlineStr">
        <is>
          <t>No</t>
        </is>
      </c>
      <c r="G99" t="inlineStr">
        <is>
          <t>1</t>
        </is>
      </c>
      <c r="H99" t="inlineStr">
        <is>
          <t>No</t>
        </is>
      </c>
      <c r="I99" t="inlineStr">
        <is>
          <t>No</t>
        </is>
      </c>
      <c r="J99" t="inlineStr">
        <is>
          <t>0</t>
        </is>
      </c>
      <c r="K99" t="inlineStr">
        <is>
          <t>Berthoud, Roger, 1934-2013.</t>
        </is>
      </c>
      <c r="L99" t="inlineStr">
        <is>
          <t>New York : E.P. Dutton, 1987.</t>
        </is>
      </c>
      <c r="M99" t="inlineStr">
        <is>
          <t>1987</t>
        </is>
      </c>
      <c r="N99" t="inlineStr">
        <is>
          <t>1st American ed.</t>
        </is>
      </c>
      <c r="O99" t="inlineStr">
        <is>
          <t>eng</t>
        </is>
      </c>
      <c r="P99" t="inlineStr">
        <is>
          <t>nyu</t>
        </is>
      </c>
      <c r="R99" t="inlineStr">
        <is>
          <t xml:space="preserve">NB </t>
        </is>
      </c>
      <c r="S99" t="n">
        <v>10</v>
      </c>
      <c r="T99" t="n">
        <v>10</v>
      </c>
      <c r="U99" t="inlineStr">
        <is>
          <t>2008-03-10</t>
        </is>
      </c>
      <c r="V99" t="inlineStr">
        <is>
          <t>2008-03-10</t>
        </is>
      </c>
      <c r="W99" t="inlineStr">
        <is>
          <t>1990-04-20</t>
        </is>
      </c>
      <c r="X99" t="inlineStr">
        <is>
          <t>1990-04-20</t>
        </is>
      </c>
      <c r="Y99" t="n">
        <v>312</v>
      </c>
      <c r="Z99" t="n">
        <v>290</v>
      </c>
      <c r="AA99" t="n">
        <v>862</v>
      </c>
      <c r="AB99" t="n">
        <v>1</v>
      </c>
      <c r="AC99" t="n">
        <v>6</v>
      </c>
      <c r="AD99" t="n">
        <v>6</v>
      </c>
      <c r="AE99" t="n">
        <v>25</v>
      </c>
      <c r="AF99" t="n">
        <v>3</v>
      </c>
      <c r="AG99" t="n">
        <v>10</v>
      </c>
      <c r="AH99" t="n">
        <v>3</v>
      </c>
      <c r="AI99" t="n">
        <v>5</v>
      </c>
      <c r="AJ99" t="n">
        <v>2</v>
      </c>
      <c r="AK99" t="n">
        <v>11</v>
      </c>
      <c r="AL99" t="n">
        <v>0</v>
      </c>
      <c r="AM99" t="n">
        <v>5</v>
      </c>
      <c r="AN99" t="n">
        <v>0</v>
      </c>
      <c r="AO99" t="n">
        <v>0</v>
      </c>
      <c r="AP99" t="inlineStr">
        <is>
          <t>No</t>
        </is>
      </c>
      <c r="AQ99" t="inlineStr">
        <is>
          <t>Yes</t>
        </is>
      </c>
      <c r="AR99">
        <f>HYPERLINK("http://catalog.hathitrust.org/Record/000844799","HathiTrust Record")</f>
        <v/>
      </c>
      <c r="AS99">
        <f>HYPERLINK("https://creighton-primo.hosted.exlibrisgroup.com/primo-explore/search?tab=default_tab&amp;search_scope=EVERYTHING&amp;vid=01CRU&amp;lang=en_US&amp;offset=0&amp;query=any,contains,991001311459702656","Catalog Record")</f>
        <v/>
      </c>
      <c r="AT99">
        <f>HYPERLINK("http://www.worldcat.org/oclc/18149901","WorldCat Record")</f>
        <v/>
      </c>
      <c r="AU99" t="inlineStr">
        <is>
          <t>824585:eng</t>
        </is>
      </c>
      <c r="AV99" t="inlineStr">
        <is>
          <t>18149901</t>
        </is>
      </c>
      <c r="AW99" t="inlineStr">
        <is>
          <t>991001311459702656</t>
        </is>
      </c>
      <c r="AX99" t="inlineStr">
        <is>
          <t>991001311459702656</t>
        </is>
      </c>
      <c r="AY99" t="inlineStr">
        <is>
          <t>2261793990002656</t>
        </is>
      </c>
      <c r="AZ99" t="inlineStr">
        <is>
          <t>BOOK</t>
        </is>
      </c>
      <c r="BB99" t="inlineStr">
        <is>
          <t>9780525245636</t>
        </is>
      </c>
      <c r="BC99" t="inlineStr">
        <is>
          <t>32285000124338</t>
        </is>
      </c>
      <c r="BD99" t="inlineStr">
        <is>
          <t>893315696</t>
        </is>
      </c>
    </row>
    <row r="100">
      <c r="A100" t="inlineStr">
        <is>
          <t>No</t>
        </is>
      </c>
      <c r="B100" t="inlineStr">
        <is>
          <t>NB497.M6 H4 1968</t>
        </is>
      </c>
      <c r="C100" t="inlineStr">
        <is>
          <t>0                      NB 0497000M  6                  H  4           1968</t>
        </is>
      </c>
      <c r="D100" t="inlineStr">
        <is>
          <t>Henry Spencer Moore / [photographed and edited by John Hedgecoe ; words by Henry Moore.]</t>
        </is>
      </c>
      <c r="F100" t="inlineStr">
        <is>
          <t>No</t>
        </is>
      </c>
      <c r="G100" t="inlineStr">
        <is>
          <t>1</t>
        </is>
      </c>
      <c r="H100" t="inlineStr">
        <is>
          <t>No</t>
        </is>
      </c>
      <c r="I100" t="inlineStr">
        <is>
          <t>No</t>
        </is>
      </c>
      <c r="J100" t="inlineStr">
        <is>
          <t>0</t>
        </is>
      </c>
      <c r="K100" t="inlineStr">
        <is>
          <t>Moore, Henry, 1898-1986.</t>
        </is>
      </c>
      <c r="L100" t="inlineStr">
        <is>
          <t>New York : Simon and Schuster, [1968?]</t>
        </is>
      </c>
      <c r="M100" t="inlineStr">
        <is>
          <t>1968</t>
        </is>
      </c>
      <c r="O100" t="inlineStr">
        <is>
          <t>eng</t>
        </is>
      </c>
      <c r="P100" t="inlineStr">
        <is>
          <t>nyu</t>
        </is>
      </c>
      <c r="R100" t="inlineStr">
        <is>
          <t xml:space="preserve">NB </t>
        </is>
      </c>
      <c r="S100" t="n">
        <v>1</v>
      </c>
      <c r="T100" t="n">
        <v>1</v>
      </c>
      <c r="U100" t="inlineStr">
        <is>
          <t>2007-02-05</t>
        </is>
      </c>
      <c r="V100" t="inlineStr">
        <is>
          <t>2007-02-05</t>
        </is>
      </c>
      <c r="W100" t="inlineStr">
        <is>
          <t>2007-02-05</t>
        </is>
      </c>
      <c r="X100" t="inlineStr">
        <is>
          <t>2007-02-05</t>
        </is>
      </c>
      <c r="Y100" t="n">
        <v>823</v>
      </c>
      <c r="Z100" t="n">
        <v>752</v>
      </c>
      <c r="AA100" t="n">
        <v>772</v>
      </c>
      <c r="AB100" t="n">
        <v>4</v>
      </c>
      <c r="AC100" t="n">
        <v>4</v>
      </c>
      <c r="AD100" t="n">
        <v>22</v>
      </c>
      <c r="AE100" t="n">
        <v>23</v>
      </c>
      <c r="AF100" t="n">
        <v>10</v>
      </c>
      <c r="AG100" t="n">
        <v>10</v>
      </c>
      <c r="AH100" t="n">
        <v>4</v>
      </c>
      <c r="AI100" t="n">
        <v>4</v>
      </c>
      <c r="AJ100" t="n">
        <v>12</v>
      </c>
      <c r="AK100" t="n">
        <v>13</v>
      </c>
      <c r="AL100" t="n">
        <v>2</v>
      </c>
      <c r="AM100" t="n">
        <v>2</v>
      </c>
      <c r="AN100" t="n">
        <v>0</v>
      </c>
      <c r="AO100" t="n">
        <v>0</v>
      </c>
      <c r="AP100" t="inlineStr">
        <is>
          <t>No</t>
        </is>
      </c>
      <c r="AQ100" t="inlineStr">
        <is>
          <t>Yes</t>
        </is>
      </c>
      <c r="AR100">
        <f>HYPERLINK("http://catalog.hathitrust.org/Record/001467447","HathiTrust Record")</f>
        <v/>
      </c>
      <c r="AS100">
        <f>HYPERLINK("https://creighton-primo.hosted.exlibrisgroup.com/primo-explore/search?tab=default_tab&amp;search_scope=EVERYTHING&amp;vid=01CRU&amp;lang=en_US&amp;offset=0&amp;query=any,contains,991005008289702656","Catalog Record")</f>
        <v/>
      </c>
      <c r="AT100">
        <f>HYPERLINK("http://www.worldcat.org/oclc/377621","WorldCat Record")</f>
        <v/>
      </c>
      <c r="AU100" t="inlineStr">
        <is>
          <t>2830143086:eng</t>
        </is>
      </c>
      <c r="AV100" t="inlineStr">
        <is>
          <t>377621</t>
        </is>
      </c>
      <c r="AW100" t="inlineStr">
        <is>
          <t>991005008289702656</t>
        </is>
      </c>
      <c r="AX100" t="inlineStr">
        <is>
          <t>991005008289702656</t>
        </is>
      </c>
      <c r="AY100" t="inlineStr">
        <is>
          <t>2260848870002656</t>
        </is>
      </c>
      <c r="AZ100" t="inlineStr">
        <is>
          <t>BOOK</t>
        </is>
      </c>
      <c r="BC100" t="inlineStr">
        <is>
          <t>32285005274823</t>
        </is>
      </c>
      <c r="BD100" t="inlineStr">
        <is>
          <t>893776687</t>
        </is>
      </c>
    </row>
    <row r="101">
      <c r="A101" t="inlineStr">
        <is>
          <t>No</t>
        </is>
      </c>
      <c r="B101" t="inlineStr">
        <is>
          <t>NB497.M6 M57 1992</t>
        </is>
      </c>
      <c r="C101" t="inlineStr">
        <is>
          <t>0                      NB 0497000M  6                  M  57          1992</t>
        </is>
      </c>
      <c r="D101" t="inlineStr">
        <is>
          <t>Henry Moore / David Mitchinson and Julian Stallabrass.</t>
        </is>
      </c>
      <c r="F101" t="inlineStr">
        <is>
          <t>No</t>
        </is>
      </c>
      <c r="G101" t="inlineStr">
        <is>
          <t>1</t>
        </is>
      </c>
      <c r="H101" t="inlineStr">
        <is>
          <t>No</t>
        </is>
      </c>
      <c r="I101" t="inlineStr">
        <is>
          <t>No</t>
        </is>
      </c>
      <c r="J101" t="inlineStr">
        <is>
          <t>0</t>
        </is>
      </c>
      <c r="K101" t="inlineStr">
        <is>
          <t>Mitchinson, David.</t>
        </is>
      </c>
      <c r="L101" t="inlineStr">
        <is>
          <t>New York : Rizzoli, 1992.</t>
        </is>
      </c>
      <c r="M101" t="inlineStr">
        <is>
          <t>1992</t>
        </is>
      </c>
      <c r="O101" t="inlineStr">
        <is>
          <t>eng</t>
        </is>
      </c>
      <c r="P101" t="inlineStr">
        <is>
          <t>nyu</t>
        </is>
      </c>
      <c r="R101" t="inlineStr">
        <is>
          <t xml:space="preserve">NB </t>
        </is>
      </c>
      <c r="S101" t="n">
        <v>8</v>
      </c>
      <c r="T101" t="n">
        <v>8</v>
      </c>
      <c r="U101" t="inlineStr">
        <is>
          <t>2008-03-10</t>
        </is>
      </c>
      <c r="V101" t="inlineStr">
        <is>
          <t>2008-03-10</t>
        </is>
      </c>
      <c r="W101" t="inlineStr">
        <is>
          <t>1994-04-13</t>
        </is>
      </c>
      <c r="X101" t="inlineStr">
        <is>
          <t>1994-04-13</t>
        </is>
      </c>
      <c r="Y101" t="n">
        <v>301</v>
      </c>
      <c r="Z101" t="n">
        <v>276</v>
      </c>
      <c r="AA101" t="n">
        <v>307</v>
      </c>
      <c r="AB101" t="n">
        <v>3</v>
      </c>
      <c r="AC101" t="n">
        <v>3</v>
      </c>
      <c r="AD101" t="n">
        <v>8</v>
      </c>
      <c r="AE101" t="n">
        <v>9</v>
      </c>
      <c r="AF101" t="n">
        <v>3</v>
      </c>
      <c r="AG101" t="n">
        <v>4</v>
      </c>
      <c r="AH101" t="n">
        <v>0</v>
      </c>
      <c r="AI101" t="n">
        <v>0</v>
      </c>
      <c r="AJ101" t="n">
        <v>6</v>
      </c>
      <c r="AK101" t="n">
        <v>7</v>
      </c>
      <c r="AL101" t="n">
        <v>2</v>
      </c>
      <c r="AM101" t="n">
        <v>2</v>
      </c>
      <c r="AN101" t="n">
        <v>0</v>
      </c>
      <c r="AO101" t="n">
        <v>0</v>
      </c>
      <c r="AP101" t="inlineStr">
        <is>
          <t>No</t>
        </is>
      </c>
      <c r="AQ101" t="inlineStr">
        <is>
          <t>Yes</t>
        </is>
      </c>
      <c r="AR101">
        <f>HYPERLINK("http://catalog.hathitrust.org/Record/002574903","HathiTrust Record")</f>
        <v/>
      </c>
      <c r="AS101">
        <f>HYPERLINK("https://creighton-primo.hosted.exlibrisgroup.com/primo-explore/search?tab=default_tab&amp;search_scope=EVERYTHING&amp;vid=01CRU&amp;lang=en_US&amp;offset=0&amp;query=any,contains,991001965249702656","Catalog Record")</f>
        <v/>
      </c>
      <c r="AT101">
        <f>HYPERLINK("http://www.worldcat.org/oclc/24908497","WorldCat Record")</f>
        <v/>
      </c>
      <c r="AU101" t="inlineStr">
        <is>
          <t>2044288367:eng</t>
        </is>
      </c>
      <c r="AV101" t="inlineStr">
        <is>
          <t>24908497</t>
        </is>
      </c>
      <c r="AW101" t="inlineStr">
        <is>
          <t>991001965249702656</t>
        </is>
      </c>
      <c r="AX101" t="inlineStr">
        <is>
          <t>991001965249702656</t>
        </is>
      </c>
      <c r="AY101" t="inlineStr">
        <is>
          <t>2267122160002656</t>
        </is>
      </c>
      <c r="AZ101" t="inlineStr">
        <is>
          <t>BOOK</t>
        </is>
      </c>
      <c r="BB101" t="inlineStr">
        <is>
          <t>9780847815593</t>
        </is>
      </c>
      <c r="BC101" t="inlineStr">
        <is>
          <t>32285001876050</t>
        </is>
      </c>
      <c r="BD101" t="inlineStr">
        <is>
          <t>893898234</t>
        </is>
      </c>
    </row>
    <row r="102">
      <c r="A102" t="inlineStr">
        <is>
          <t>No</t>
        </is>
      </c>
      <c r="B102" t="inlineStr">
        <is>
          <t>NB497.M6 N43</t>
        </is>
      </c>
      <c r="C102" t="inlineStr">
        <is>
          <t>0                      NB 0497000M  6                  N  43</t>
        </is>
      </c>
      <c r="D102" t="inlineStr">
        <is>
          <t>The archetypal world of Henry Moore.</t>
        </is>
      </c>
      <c r="F102" t="inlineStr">
        <is>
          <t>No</t>
        </is>
      </c>
      <c r="G102" t="inlineStr">
        <is>
          <t>1</t>
        </is>
      </c>
      <c r="H102" t="inlineStr">
        <is>
          <t>No</t>
        </is>
      </c>
      <c r="I102" t="inlineStr">
        <is>
          <t>No</t>
        </is>
      </c>
      <c r="J102" t="inlineStr">
        <is>
          <t>0</t>
        </is>
      </c>
      <c r="K102" t="inlineStr">
        <is>
          <t>Neumann, Erich.</t>
        </is>
      </c>
      <c r="L102" t="inlineStr">
        <is>
          <t>[New York] Pantheon Books [c1959]</t>
        </is>
      </c>
      <c r="M102" t="inlineStr">
        <is>
          <t>1959</t>
        </is>
      </c>
      <c r="O102" t="inlineStr">
        <is>
          <t>eng</t>
        </is>
      </c>
      <c r="P102" t="inlineStr">
        <is>
          <t xml:space="preserve">xx </t>
        </is>
      </c>
      <c r="R102" t="inlineStr">
        <is>
          <t xml:space="preserve">NB </t>
        </is>
      </c>
      <c r="S102" t="n">
        <v>2</v>
      </c>
      <c r="T102" t="n">
        <v>2</v>
      </c>
      <c r="U102" t="inlineStr">
        <is>
          <t>2004-04-14</t>
        </is>
      </c>
      <c r="V102" t="inlineStr">
        <is>
          <t>2004-04-14</t>
        </is>
      </c>
      <c r="W102" t="inlineStr">
        <is>
          <t>1997-07-03</t>
        </is>
      </c>
      <c r="X102" t="inlineStr">
        <is>
          <t>1997-07-03</t>
        </is>
      </c>
      <c r="Y102" t="n">
        <v>863</v>
      </c>
      <c r="Z102" t="n">
        <v>786</v>
      </c>
      <c r="AA102" t="n">
        <v>909</v>
      </c>
      <c r="AB102" t="n">
        <v>4</v>
      </c>
      <c r="AC102" t="n">
        <v>6</v>
      </c>
      <c r="AD102" t="n">
        <v>34</v>
      </c>
      <c r="AE102" t="n">
        <v>37</v>
      </c>
      <c r="AF102" t="n">
        <v>15</v>
      </c>
      <c r="AG102" t="n">
        <v>15</v>
      </c>
      <c r="AH102" t="n">
        <v>7</v>
      </c>
      <c r="AI102" t="n">
        <v>8</v>
      </c>
      <c r="AJ102" t="n">
        <v>19</v>
      </c>
      <c r="AK102" t="n">
        <v>21</v>
      </c>
      <c r="AL102" t="n">
        <v>3</v>
      </c>
      <c r="AM102" t="n">
        <v>4</v>
      </c>
      <c r="AN102" t="n">
        <v>0</v>
      </c>
      <c r="AO102" t="n">
        <v>0</v>
      </c>
      <c r="AP102" t="inlineStr">
        <is>
          <t>No</t>
        </is>
      </c>
      <c r="AQ102" t="inlineStr">
        <is>
          <t>No</t>
        </is>
      </c>
      <c r="AR102">
        <f>HYPERLINK("http://catalog.hathitrust.org/Record/001467450","HathiTrust Record")</f>
        <v/>
      </c>
      <c r="AS102">
        <f>HYPERLINK("https://creighton-primo.hosted.exlibrisgroup.com/primo-explore/search?tab=default_tab&amp;search_scope=EVERYTHING&amp;vid=01CRU&amp;lang=en_US&amp;offset=0&amp;query=any,contains,991002901219702656","Catalog Record")</f>
        <v/>
      </c>
      <c r="AT102">
        <f>HYPERLINK("http://www.worldcat.org/oclc/517345","WorldCat Record")</f>
        <v/>
      </c>
      <c r="AU102" t="inlineStr">
        <is>
          <t>1504474:eng</t>
        </is>
      </c>
      <c r="AV102" t="inlineStr">
        <is>
          <t>517345</t>
        </is>
      </c>
      <c r="AW102" t="inlineStr">
        <is>
          <t>991002901219702656</t>
        </is>
      </c>
      <c r="AX102" t="inlineStr">
        <is>
          <t>991002901219702656</t>
        </is>
      </c>
      <c r="AY102" t="inlineStr">
        <is>
          <t>2255100670002656</t>
        </is>
      </c>
      <c r="AZ102" t="inlineStr">
        <is>
          <t>BOOK</t>
        </is>
      </c>
      <c r="BC102" t="inlineStr">
        <is>
          <t>32285002863719</t>
        </is>
      </c>
      <c r="BD102" t="inlineStr">
        <is>
          <t>893886882</t>
        </is>
      </c>
    </row>
    <row r="103">
      <c r="A103" t="inlineStr">
        <is>
          <t>No</t>
        </is>
      </c>
      <c r="B103" t="inlineStr">
        <is>
          <t>NB497.M6 R39 1966</t>
        </is>
      </c>
      <c r="C103" t="inlineStr">
        <is>
          <t>0                      NB 0497000M  6                  R  39          1966</t>
        </is>
      </c>
      <c r="D103" t="inlineStr">
        <is>
          <t>Henry Moore; a study of his life and work [by] Herbert Read.</t>
        </is>
      </c>
      <c r="F103" t="inlineStr">
        <is>
          <t>No</t>
        </is>
      </c>
      <c r="G103" t="inlineStr">
        <is>
          <t>1</t>
        </is>
      </c>
      <c r="H103" t="inlineStr">
        <is>
          <t>No</t>
        </is>
      </c>
      <c r="I103" t="inlineStr">
        <is>
          <t>No</t>
        </is>
      </c>
      <c r="J103" t="inlineStr">
        <is>
          <t>0</t>
        </is>
      </c>
      <c r="K103" t="inlineStr">
        <is>
          <t>Read, Herbert, 1893-1968.</t>
        </is>
      </c>
      <c r="L103" t="inlineStr">
        <is>
          <t>New York, Praeger [1966, c1965]</t>
        </is>
      </c>
      <c r="M103" t="inlineStr">
        <is>
          <t>1966</t>
        </is>
      </c>
      <c r="O103" t="inlineStr">
        <is>
          <t>eng</t>
        </is>
      </c>
      <c r="P103" t="inlineStr">
        <is>
          <t>nyu</t>
        </is>
      </c>
      <c r="Q103" t="inlineStr">
        <is>
          <t>A Praeger world of art profile</t>
        </is>
      </c>
      <c r="R103" t="inlineStr">
        <is>
          <t xml:space="preserve">NB </t>
        </is>
      </c>
      <c r="S103" t="n">
        <v>2</v>
      </c>
      <c r="T103" t="n">
        <v>2</v>
      </c>
      <c r="U103" t="inlineStr">
        <is>
          <t>2004-08-19</t>
        </is>
      </c>
      <c r="V103" t="inlineStr">
        <is>
          <t>2004-08-19</t>
        </is>
      </c>
      <c r="W103" t="inlineStr">
        <is>
          <t>1997-07-03</t>
        </is>
      </c>
      <c r="X103" t="inlineStr">
        <is>
          <t>1997-07-03</t>
        </is>
      </c>
      <c r="Y103" t="n">
        <v>999</v>
      </c>
      <c r="Z103" t="n">
        <v>922</v>
      </c>
      <c r="AA103" t="n">
        <v>1026</v>
      </c>
      <c r="AB103" t="n">
        <v>9</v>
      </c>
      <c r="AC103" t="n">
        <v>10</v>
      </c>
      <c r="AD103" t="n">
        <v>35</v>
      </c>
      <c r="AE103" t="n">
        <v>38</v>
      </c>
      <c r="AF103" t="n">
        <v>11</v>
      </c>
      <c r="AG103" t="n">
        <v>14</v>
      </c>
      <c r="AH103" t="n">
        <v>6</v>
      </c>
      <c r="AI103" t="n">
        <v>6</v>
      </c>
      <c r="AJ103" t="n">
        <v>16</v>
      </c>
      <c r="AK103" t="n">
        <v>17</v>
      </c>
      <c r="AL103" t="n">
        <v>8</v>
      </c>
      <c r="AM103" t="n">
        <v>8</v>
      </c>
      <c r="AN103" t="n">
        <v>0</v>
      </c>
      <c r="AO103" t="n">
        <v>0</v>
      </c>
      <c r="AP103" t="inlineStr">
        <is>
          <t>No</t>
        </is>
      </c>
      <c r="AQ103" t="inlineStr">
        <is>
          <t>Yes</t>
        </is>
      </c>
      <c r="AR103">
        <f>HYPERLINK("http://catalog.hathitrust.org/Record/001467452","HathiTrust Record")</f>
        <v/>
      </c>
      <c r="AS103">
        <f>HYPERLINK("https://creighton-primo.hosted.exlibrisgroup.com/primo-explore/search?tab=default_tab&amp;search_scope=EVERYTHING&amp;vid=01CRU&amp;lang=en_US&amp;offset=0&amp;query=any,contains,991003181209702656","Catalog Record")</f>
        <v/>
      </c>
      <c r="AT103">
        <f>HYPERLINK("http://www.worldcat.org/oclc/711814","WorldCat Record")</f>
        <v/>
      </c>
      <c r="AU103" t="inlineStr">
        <is>
          <t>3759291205:eng</t>
        </is>
      </c>
      <c r="AV103" t="inlineStr">
        <is>
          <t>711814</t>
        </is>
      </c>
      <c r="AW103" t="inlineStr">
        <is>
          <t>991003181209702656</t>
        </is>
      </c>
      <c r="AX103" t="inlineStr">
        <is>
          <t>991003181209702656</t>
        </is>
      </c>
      <c r="AY103" t="inlineStr">
        <is>
          <t>2264257800002656</t>
        </is>
      </c>
      <c r="AZ103" t="inlineStr">
        <is>
          <t>BOOK</t>
        </is>
      </c>
      <c r="BC103" t="inlineStr">
        <is>
          <t>32285002863727</t>
        </is>
      </c>
      <c r="BD103" t="inlineStr">
        <is>
          <t>893617074</t>
        </is>
      </c>
    </row>
    <row r="104">
      <c r="A104" t="inlineStr">
        <is>
          <t>No</t>
        </is>
      </c>
      <c r="B104" t="inlineStr">
        <is>
          <t>NB553 .C3 W33 1986</t>
        </is>
      </c>
      <c r="C104" t="inlineStr">
        <is>
          <t>0                      NB 0553000C  3                  W  33          1986</t>
        </is>
      </c>
      <c r="D104" t="inlineStr">
        <is>
          <t>Jean-Baptiste Carpeaux : sculptor of the Second Empire / Anne Middleton Wagner.</t>
        </is>
      </c>
      <c r="F104" t="inlineStr">
        <is>
          <t>No</t>
        </is>
      </c>
      <c r="G104" t="inlineStr">
        <is>
          <t>1</t>
        </is>
      </c>
      <c r="H104" t="inlineStr">
        <is>
          <t>No</t>
        </is>
      </c>
      <c r="I104" t="inlineStr">
        <is>
          <t>No</t>
        </is>
      </c>
      <c r="J104" t="inlineStr">
        <is>
          <t>0</t>
        </is>
      </c>
      <c r="K104" t="inlineStr">
        <is>
          <t>Wagner, Anne Middleton, 1949-</t>
        </is>
      </c>
      <c r="L104" t="inlineStr">
        <is>
          <t>New Haven : Yale University Press, 1986.</t>
        </is>
      </c>
      <c r="M104" t="inlineStr">
        <is>
          <t>1986</t>
        </is>
      </c>
      <c r="O104" t="inlineStr">
        <is>
          <t>eng</t>
        </is>
      </c>
      <c r="P104" t="inlineStr">
        <is>
          <t>ctu</t>
        </is>
      </c>
      <c r="R104" t="inlineStr">
        <is>
          <t xml:space="preserve">NB </t>
        </is>
      </c>
      <c r="S104" t="n">
        <v>6</v>
      </c>
      <c r="T104" t="n">
        <v>6</v>
      </c>
      <c r="U104" t="inlineStr">
        <is>
          <t>2009-02-24</t>
        </is>
      </c>
      <c r="V104" t="inlineStr">
        <is>
          <t>2009-02-24</t>
        </is>
      </c>
      <c r="W104" t="inlineStr">
        <is>
          <t>2005-04-19</t>
        </is>
      </c>
      <c r="X104" t="inlineStr">
        <is>
          <t>2005-04-19</t>
        </is>
      </c>
      <c r="Y104" t="n">
        <v>32</v>
      </c>
      <c r="Z104" t="n">
        <v>18</v>
      </c>
      <c r="AA104" t="n">
        <v>482</v>
      </c>
      <c r="AB104" t="n">
        <v>1</v>
      </c>
      <c r="AC104" t="n">
        <v>4</v>
      </c>
      <c r="AD104" t="n">
        <v>0</v>
      </c>
      <c r="AE104" t="n">
        <v>21</v>
      </c>
      <c r="AF104" t="n">
        <v>0</v>
      </c>
      <c r="AG104" t="n">
        <v>10</v>
      </c>
      <c r="AH104" t="n">
        <v>0</v>
      </c>
      <c r="AI104" t="n">
        <v>4</v>
      </c>
      <c r="AJ104" t="n">
        <v>0</v>
      </c>
      <c r="AK104" t="n">
        <v>11</v>
      </c>
      <c r="AL104" t="n">
        <v>0</v>
      </c>
      <c r="AM104" t="n">
        <v>2</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HYPERLINK("https://creighton-primo.hosted.exlibrisgroup.com/primo-explore/search?tab=default_tab&amp;search_scope=EVERYTHING&amp;vid=01CRU&amp;lang=en_US&amp;offset=0&amp;query=any,contains,991004492709702656","Catalog Record")</f>
        <v/>
      </c>
      <c r="AT104">
        <f>HYPERLINK("http://www.worldcat.org/oclc/32212142","WorldCat Record")</f>
        <v/>
      </c>
      <c r="AU104" t="inlineStr">
        <is>
          <t>836681179:eng</t>
        </is>
      </c>
      <c r="AV104" t="inlineStr">
        <is>
          <t>32212142</t>
        </is>
      </c>
      <c r="AW104" t="inlineStr">
        <is>
          <t>991004492709702656</t>
        </is>
      </c>
      <c r="AX104" t="inlineStr">
        <is>
          <t>991004492709702656</t>
        </is>
      </c>
      <c r="AY104" t="inlineStr">
        <is>
          <t>2264420960002656</t>
        </is>
      </c>
      <c r="AZ104" t="inlineStr">
        <is>
          <t>BOOK</t>
        </is>
      </c>
      <c r="BB104" t="inlineStr">
        <is>
          <t>9780300047516</t>
        </is>
      </c>
      <c r="BC104" t="inlineStr">
        <is>
          <t>32285005031405</t>
        </is>
      </c>
      <c r="BD104" t="inlineStr">
        <is>
          <t>893807135</t>
        </is>
      </c>
    </row>
    <row r="105">
      <c r="A105" t="inlineStr">
        <is>
          <t>No</t>
        </is>
      </c>
      <c r="B105" t="inlineStr">
        <is>
          <t>NB553 .R7 P5613 1992</t>
        </is>
      </c>
      <c r="C105" t="inlineStr">
        <is>
          <t>0                      NB 0553000R  7                  P  5613        1992</t>
        </is>
      </c>
      <c r="D105" t="inlineStr">
        <is>
          <t>Rodin : the hands of genius / Hélène Pinet.</t>
        </is>
      </c>
      <c r="F105" t="inlineStr">
        <is>
          <t>No</t>
        </is>
      </c>
      <c r="G105" t="inlineStr">
        <is>
          <t>1</t>
        </is>
      </c>
      <c r="H105" t="inlineStr">
        <is>
          <t>No</t>
        </is>
      </c>
      <c r="I105" t="inlineStr">
        <is>
          <t>No</t>
        </is>
      </c>
      <c r="J105" t="inlineStr">
        <is>
          <t>0</t>
        </is>
      </c>
      <c r="K105" t="inlineStr">
        <is>
          <t>Pinet, Hélène.</t>
        </is>
      </c>
      <c r="L105" t="inlineStr">
        <is>
          <t>London : Thames and Hudson, c1992.</t>
        </is>
      </c>
      <c r="M105" t="inlineStr">
        <is>
          <t>1992</t>
        </is>
      </c>
      <c r="O105" t="inlineStr">
        <is>
          <t>eng</t>
        </is>
      </c>
      <c r="P105" t="inlineStr">
        <is>
          <t>enk</t>
        </is>
      </c>
      <c r="Q105" t="inlineStr">
        <is>
          <t>New horizons (Thames and Hudson)</t>
        </is>
      </c>
      <c r="R105" t="inlineStr">
        <is>
          <t xml:space="preserve">NB </t>
        </is>
      </c>
      <c r="S105" t="n">
        <v>1</v>
      </c>
      <c r="T105" t="n">
        <v>1</v>
      </c>
      <c r="U105" t="inlineStr">
        <is>
          <t>2009-04-06</t>
        </is>
      </c>
      <c r="V105" t="inlineStr">
        <is>
          <t>2009-04-06</t>
        </is>
      </c>
      <c r="W105" t="inlineStr">
        <is>
          <t>2009-04-06</t>
        </is>
      </c>
      <c r="X105" t="inlineStr">
        <is>
          <t>2009-04-06</t>
        </is>
      </c>
      <c r="Y105" t="n">
        <v>98</v>
      </c>
      <c r="Z105" t="n">
        <v>9</v>
      </c>
      <c r="AA105" t="n">
        <v>338</v>
      </c>
      <c r="AB105" t="n">
        <v>2</v>
      </c>
      <c r="AC105" t="n">
        <v>2</v>
      </c>
      <c r="AD105" t="n">
        <v>1</v>
      </c>
      <c r="AE105" t="n">
        <v>6</v>
      </c>
      <c r="AF105" t="n">
        <v>0</v>
      </c>
      <c r="AG105" t="n">
        <v>1</v>
      </c>
      <c r="AH105" t="n">
        <v>0</v>
      </c>
      <c r="AI105" t="n">
        <v>1</v>
      </c>
      <c r="AJ105" t="n">
        <v>0</v>
      </c>
      <c r="AK105" t="n">
        <v>4</v>
      </c>
      <c r="AL105" t="n">
        <v>1</v>
      </c>
      <c r="AM105" t="n">
        <v>1</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HYPERLINK("https://creighton-primo.hosted.exlibrisgroup.com/primo-explore/search?tab=default_tab&amp;search_scope=EVERYTHING&amp;vid=01CRU&amp;lang=en_US&amp;offset=0&amp;query=any,contains,991005305649702656","Catalog Record")</f>
        <v/>
      </c>
      <c r="AT105">
        <f>HYPERLINK("http://www.worldcat.org/oclc/27895713","WorldCat Record")</f>
        <v/>
      </c>
      <c r="AU105" t="inlineStr">
        <is>
          <t>353585824:eng</t>
        </is>
      </c>
      <c r="AV105" t="inlineStr">
        <is>
          <t>27895713</t>
        </is>
      </c>
      <c r="AW105" t="inlineStr">
        <is>
          <t>991005305649702656</t>
        </is>
      </c>
      <c r="AX105" t="inlineStr">
        <is>
          <t>991005305649702656</t>
        </is>
      </c>
      <c r="AY105" t="inlineStr">
        <is>
          <t>2259698600002656</t>
        </is>
      </c>
      <c r="AZ105" t="inlineStr">
        <is>
          <t>BOOK</t>
        </is>
      </c>
      <c r="BB105" t="inlineStr">
        <is>
          <t>9780500300190</t>
        </is>
      </c>
      <c r="BC105" t="inlineStr">
        <is>
          <t>32285005513774</t>
        </is>
      </c>
      <c r="BD105" t="inlineStr">
        <is>
          <t>893230509</t>
        </is>
      </c>
    </row>
    <row r="106">
      <c r="A106" t="inlineStr">
        <is>
          <t>No</t>
        </is>
      </c>
      <c r="B106" t="inlineStr">
        <is>
          <t>NB553.B73 G513</t>
        </is>
      </c>
      <c r="C106" t="inlineStr">
        <is>
          <t>0                      NB 0553000B  73                 G  513</t>
        </is>
      </c>
      <c r="D106" t="inlineStr">
        <is>
          <t>Constantin Brancusi / [by] Carola Giedion-Welcker. Translated by Maria Jolas and Anne Leroy.</t>
        </is>
      </c>
      <c r="F106" t="inlineStr">
        <is>
          <t>No</t>
        </is>
      </c>
      <c r="G106" t="inlineStr">
        <is>
          <t>1</t>
        </is>
      </c>
      <c r="H106" t="inlineStr">
        <is>
          <t>No</t>
        </is>
      </c>
      <c r="I106" t="inlineStr">
        <is>
          <t>No</t>
        </is>
      </c>
      <c r="J106" t="inlineStr">
        <is>
          <t>0</t>
        </is>
      </c>
      <c r="K106" t="inlineStr">
        <is>
          <t>Brancusi, Constantin, 1876-1957.</t>
        </is>
      </c>
      <c r="L106" t="inlineStr">
        <is>
          <t>New York : G. Braziller, 1959.</t>
        </is>
      </c>
      <c r="M106" t="inlineStr">
        <is>
          <t>1959</t>
        </is>
      </c>
      <c r="O106" t="inlineStr">
        <is>
          <t>eng</t>
        </is>
      </c>
      <c r="P106" t="inlineStr">
        <is>
          <t>___</t>
        </is>
      </c>
      <c r="R106" t="inlineStr">
        <is>
          <t xml:space="preserve">NB </t>
        </is>
      </c>
      <c r="S106" t="n">
        <v>6</v>
      </c>
      <c r="T106" t="n">
        <v>6</v>
      </c>
      <c r="U106" t="inlineStr">
        <is>
          <t>2006-10-01</t>
        </is>
      </c>
      <c r="V106" t="inlineStr">
        <is>
          <t>2006-10-01</t>
        </is>
      </c>
      <c r="W106" t="inlineStr">
        <is>
          <t>1993-05-18</t>
        </is>
      </c>
      <c r="X106" t="inlineStr">
        <is>
          <t>1993-05-18</t>
        </is>
      </c>
      <c r="Y106" t="n">
        <v>481</v>
      </c>
      <c r="Z106" t="n">
        <v>457</v>
      </c>
      <c r="AA106" t="n">
        <v>473</v>
      </c>
      <c r="AB106" t="n">
        <v>7</v>
      </c>
      <c r="AC106" t="n">
        <v>7</v>
      </c>
      <c r="AD106" t="n">
        <v>17</v>
      </c>
      <c r="AE106" t="n">
        <v>17</v>
      </c>
      <c r="AF106" t="n">
        <v>3</v>
      </c>
      <c r="AG106" t="n">
        <v>3</v>
      </c>
      <c r="AH106" t="n">
        <v>2</v>
      </c>
      <c r="AI106" t="n">
        <v>2</v>
      </c>
      <c r="AJ106" t="n">
        <v>8</v>
      </c>
      <c r="AK106" t="n">
        <v>8</v>
      </c>
      <c r="AL106" t="n">
        <v>5</v>
      </c>
      <c r="AM106" t="n">
        <v>5</v>
      </c>
      <c r="AN106" t="n">
        <v>0</v>
      </c>
      <c r="AO106" t="n">
        <v>0</v>
      </c>
      <c r="AP106" t="inlineStr">
        <is>
          <t>No</t>
        </is>
      </c>
      <c r="AQ106" t="inlineStr">
        <is>
          <t>Yes</t>
        </is>
      </c>
      <c r="AR106">
        <f>HYPERLINK("http://catalog.hathitrust.org/Record/001467975","HathiTrust Record")</f>
        <v/>
      </c>
      <c r="AS106">
        <f>HYPERLINK("https://creighton-primo.hosted.exlibrisgroup.com/primo-explore/search?tab=default_tab&amp;search_scope=EVERYTHING&amp;vid=01CRU&amp;lang=en_US&amp;offset=0&amp;query=any,contains,991003573509702656","Catalog Record")</f>
        <v/>
      </c>
      <c r="AT106">
        <f>HYPERLINK("http://www.worldcat.org/oclc/1149174","WorldCat Record")</f>
        <v/>
      </c>
      <c r="AU106" t="inlineStr">
        <is>
          <t>10252686386:eng</t>
        </is>
      </c>
      <c r="AV106" t="inlineStr">
        <is>
          <t>1149174</t>
        </is>
      </c>
      <c r="AW106" t="inlineStr">
        <is>
          <t>991003573509702656</t>
        </is>
      </c>
      <c r="AX106" t="inlineStr">
        <is>
          <t>991003573509702656</t>
        </is>
      </c>
      <c r="AY106" t="inlineStr">
        <is>
          <t>2261719090002656</t>
        </is>
      </c>
      <c r="AZ106" t="inlineStr">
        <is>
          <t>BOOK</t>
        </is>
      </c>
      <c r="BC106" t="inlineStr">
        <is>
          <t>32285001659308</t>
        </is>
      </c>
      <c r="BD106" t="inlineStr">
        <is>
          <t>893258575</t>
        </is>
      </c>
    </row>
    <row r="107">
      <c r="A107" t="inlineStr">
        <is>
          <t>No</t>
        </is>
      </c>
      <c r="B107" t="inlineStr">
        <is>
          <t>NB553.B73 J5</t>
        </is>
      </c>
      <c r="C107" t="inlineStr">
        <is>
          <t>0                      NB 0553000B  73                 J  5</t>
        </is>
      </c>
      <c r="D107" t="inlineStr">
        <is>
          <t>Brancusi.</t>
        </is>
      </c>
      <c r="F107" t="inlineStr">
        <is>
          <t>No</t>
        </is>
      </c>
      <c r="G107" t="inlineStr">
        <is>
          <t>1</t>
        </is>
      </c>
      <c r="H107" t="inlineStr">
        <is>
          <t>No</t>
        </is>
      </c>
      <c r="I107" t="inlineStr">
        <is>
          <t>No</t>
        </is>
      </c>
      <c r="J107" t="inlineStr">
        <is>
          <t>0</t>
        </is>
      </c>
      <c r="K107" t="inlineStr">
        <is>
          <t>Jianu, Ionel.</t>
        </is>
      </c>
      <c r="L107" t="inlineStr">
        <is>
          <t>New York, Tudor Pub. Co., 1963.</t>
        </is>
      </c>
      <c r="M107" t="inlineStr">
        <is>
          <t>1963</t>
        </is>
      </c>
      <c r="O107" t="inlineStr">
        <is>
          <t>eng</t>
        </is>
      </c>
      <c r="P107" t="inlineStr">
        <is>
          <t>nyu</t>
        </is>
      </c>
      <c r="R107" t="inlineStr">
        <is>
          <t xml:space="preserve">NB </t>
        </is>
      </c>
      <c r="S107" t="n">
        <v>5</v>
      </c>
      <c r="T107" t="n">
        <v>5</v>
      </c>
      <c r="U107" t="inlineStr">
        <is>
          <t>2006-10-01</t>
        </is>
      </c>
      <c r="V107" t="inlineStr">
        <is>
          <t>2006-10-01</t>
        </is>
      </c>
      <c r="W107" t="inlineStr">
        <is>
          <t>1997-07-03</t>
        </is>
      </c>
      <c r="X107" t="inlineStr">
        <is>
          <t>1997-07-03</t>
        </is>
      </c>
      <c r="Y107" t="n">
        <v>513</v>
      </c>
      <c r="Z107" t="n">
        <v>494</v>
      </c>
      <c r="AA107" t="n">
        <v>638</v>
      </c>
      <c r="AB107" t="n">
        <v>5</v>
      </c>
      <c r="AC107" t="n">
        <v>5</v>
      </c>
      <c r="AD107" t="n">
        <v>13</v>
      </c>
      <c r="AE107" t="n">
        <v>18</v>
      </c>
      <c r="AF107" t="n">
        <v>3</v>
      </c>
      <c r="AG107" t="n">
        <v>6</v>
      </c>
      <c r="AH107" t="n">
        <v>3</v>
      </c>
      <c r="AI107" t="n">
        <v>3</v>
      </c>
      <c r="AJ107" t="n">
        <v>6</v>
      </c>
      <c r="AK107" t="n">
        <v>8</v>
      </c>
      <c r="AL107" t="n">
        <v>3</v>
      </c>
      <c r="AM107" t="n">
        <v>3</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HYPERLINK("https://creighton-primo.hosted.exlibrisgroup.com/primo-explore/search?tab=default_tab&amp;search_scope=EVERYTHING&amp;vid=01CRU&amp;lang=en_US&amp;offset=0&amp;query=any,contains,991003533939702656","Catalog Record")</f>
        <v/>
      </c>
      <c r="AT107">
        <f>HYPERLINK("http://www.worldcat.org/oclc/1097003","WorldCat Record")</f>
        <v/>
      </c>
      <c r="AU107" t="inlineStr">
        <is>
          <t>1790555:eng</t>
        </is>
      </c>
      <c r="AV107" t="inlineStr">
        <is>
          <t>1097003</t>
        </is>
      </c>
      <c r="AW107" t="inlineStr">
        <is>
          <t>991003533939702656</t>
        </is>
      </c>
      <c r="AX107" t="inlineStr">
        <is>
          <t>991003533939702656</t>
        </is>
      </c>
      <c r="AY107" t="inlineStr">
        <is>
          <t>2268694900002656</t>
        </is>
      </c>
      <c r="AZ107" t="inlineStr">
        <is>
          <t>BOOK</t>
        </is>
      </c>
      <c r="BC107" t="inlineStr">
        <is>
          <t>32285002863768</t>
        </is>
      </c>
      <c r="BD107" t="inlineStr">
        <is>
          <t>893252464</t>
        </is>
      </c>
    </row>
    <row r="108">
      <c r="A108" t="inlineStr">
        <is>
          <t>No</t>
        </is>
      </c>
      <c r="B108" t="inlineStr">
        <is>
          <t>NB553.D29 W3</t>
        </is>
      </c>
      <c r="C108" t="inlineStr">
        <is>
          <t>0                      NB 0553000D  29                 W  3</t>
        </is>
      </c>
      <c r="D108" t="inlineStr">
        <is>
          <t>Daumier sculpture; a critical and comparative study, by Jeanne L. Wasserman, assisted by Joan M. Lukach and Arthur Beale. [Exhibition] Fogg Art Museum, Harvard University, May 1-June 23, 1969.</t>
        </is>
      </c>
      <c r="F108" t="inlineStr">
        <is>
          <t>No</t>
        </is>
      </c>
      <c r="G108" t="inlineStr">
        <is>
          <t>1</t>
        </is>
      </c>
      <c r="H108" t="inlineStr">
        <is>
          <t>No</t>
        </is>
      </c>
      <c r="I108" t="inlineStr">
        <is>
          <t>No</t>
        </is>
      </c>
      <c r="J108" t="inlineStr">
        <is>
          <t>0</t>
        </is>
      </c>
      <c r="K108" t="inlineStr">
        <is>
          <t>Wasserman, Jeanne L.</t>
        </is>
      </c>
      <c r="L108" t="inlineStr">
        <is>
          <t>Greenwich, Conn., Distributed by New York Graphic Society [1969]</t>
        </is>
      </c>
      <c r="M108" t="inlineStr">
        <is>
          <t>1969</t>
        </is>
      </c>
      <c r="O108" t="inlineStr">
        <is>
          <t>eng</t>
        </is>
      </c>
      <c r="P108" t="inlineStr">
        <is>
          <t>ctu</t>
        </is>
      </c>
      <c r="R108" t="inlineStr">
        <is>
          <t xml:space="preserve">NB </t>
        </is>
      </c>
      <c r="S108" t="n">
        <v>2</v>
      </c>
      <c r="T108" t="n">
        <v>2</v>
      </c>
      <c r="U108" t="inlineStr">
        <is>
          <t>2007-08-25</t>
        </is>
      </c>
      <c r="V108" t="inlineStr">
        <is>
          <t>2007-08-25</t>
        </is>
      </c>
      <c r="W108" t="inlineStr">
        <is>
          <t>1997-07-03</t>
        </is>
      </c>
      <c r="X108" t="inlineStr">
        <is>
          <t>1997-07-03</t>
        </is>
      </c>
      <c r="Y108" t="n">
        <v>674</v>
      </c>
      <c r="Z108" t="n">
        <v>604</v>
      </c>
      <c r="AA108" t="n">
        <v>648</v>
      </c>
      <c r="AB108" t="n">
        <v>6</v>
      </c>
      <c r="AC108" t="n">
        <v>6</v>
      </c>
      <c r="AD108" t="n">
        <v>20</v>
      </c>
      <c r="AE108" t="n">
        <v>23</v>
      </c>
      <c r="AF108" t="n">
        <v>8</v>
      </c>
      <c r="AG108" t="n">
        <v>9</v>
      </c>
      <c r="AH108" t="n">
        <v>4</v>
      </c>
      <c r="AI108" t="n">
        <v>4</v>
      </c>
      <c r="AJ108" t="n">
        <v>7</v>
      </c>
      <c r="AK108" t="n">
        <v>9</v>
      </c>
      <c r="AL108" t="n">
        <v>4</v>
      </c>
      <c r="AM108" t="n">
        <v>4</v>
      </c>
      <c r="AN108" t="n">
        <v>0</v>
      </c>
      <c r="AO108" t="n">
        <v>0</v>
      </c>
      <c r="AP108" t="inlineStr">
        <is>
          <t>No</t>
        </is>
      </c>
      <c r="AQ108" t="inlineStr">
        <is>
          <t>Yes</t>
        </is>
      </c>
      <c r="AR108">
        <f>HYPERLINK("http://catalog.hathitrust.org/Record/001467557","HathiTrust Record")</f>
        <v/>
      </c>
      <c r="AS108">
        <f>HYPERLINK("https://creighton-primo.hosted.exlibrisgroup.com/primo-explore/search?tab=default_tab&amp;search_scope=EVERYTHING&amp;vid=01CRU&amp;lang=en_US&amp;offset=0&amp;query=any,contains,991000635779702656","Catalog Record")</f>
        <v/>
      </c>
      <c r="AT108">
        <f>HYPERLINK("http://www.worldcat.org/oclc/107781","WorldCat Record")</f>
        <v/>
      </c>
      <c r="AU108" t="inlineStr">
        <is>
          <t>1194453:eng</t>
        </is>
      </c>
      <c r="AV108" t="inlineStr">
        <is>
          <t>107781</t>
        </is>
      </c>
      <c r="AW108" t="inlineStr">
        <is>
          <t>991000635779702656</t>
        </is>
      </c>
      <c r="AX108" t="inlineStr">
        <is>
          <t>991000635779702656</t>
        </is>
      </c>
      <c r="AY108" t="inlineStr">
        <is>
          <t>2261946620002656</t>
        </is>
      </c>
      <c r="AZ108" t="inlineStr">
        <is>
          <t>BOOK</t>
        </is>
      </c>
      <c r="BB108" t="inlineStr">
        <is>
          <t>9780821203385</t>
        </is>
      </c>
      <c r="BC108" t="inlineStr">
        <is>
          <t>32285002863776</t>
        </is>
      </c>
      <c r="BD108" t="inlineStr">
        <is>
          <t>893608128</t>
        </is>
      </c>
    </row>
    <row r="109">
      <c r="A109" t="inlineStr">
        <is>
          <t>No</t>
        </is>
      </c>
      <c r="B109" t="inlineStr">
        <is>
          <t>NB553.G4 H613</t>
        </is>
      </c>
      <c r="C109" t="inlineStr">
        <is>
          <t>0                      NB 0553000G  4                  H  613</t>
        </is>
      </c>
      <c r="D109" t="inlineStr">
        <is>
          <t>Alberto Giacometti.</t>
        </is>
      </c>
      <c r="F109" t="inlineStr">
        <is>
          <t>No</t>
        </is>
      </c>
      <c r="G109" t="inlineStr">
        <is>
          <t>1</t>
        </is>
      </c>
      <c r="H109" t="inlineStr">
        <is>
          <t>No</t>
        </is>
      </c>
      <c r="I109" t="inlineStr">
        <is>
          <t>No</t>
        </is>
      </c>
      <c r="J109" t="inlineStr">
        <is>
          <t>0</t>
        </is>
      </c>
      <c r="K109" t="inlineStr">
        <is>
          <t>Hohl, Reinhold.</t>
        </is>
      </c>
      <c r="L109" t="inlineStr">
        <is>
          <t>New York : H. N. Abrams, [1972, c1971]</t>
        </is>
      </c>
      <c r="M109" t="inlineStr">
        <is>
          <t>1972</t>
        </is>
      </c>
      <c r="O109" t="inlineStr">
        <is>
          <t>eng</t>
        </is>
      </c>
      <c r="P109" t="inlineStr">
        <is>
          <t>nyu</t>
        </is>
      </c>
      <c r="R109" t="inlineStr">
        <is>
          <t xml:space="preserve">NB </t>
        </is>
      </c>
      <c r="S109" t="n">
        <v>13</v>
      </c>
      <c r="T109" t="n">
        <v>13</v>
      </c>
      <c r="U109" t="inlineStr">
        <is>
          <t>2005-10-29</t>
        </is>
      </c>
      <c r="V109" t="inlineStr">
        <is>
          <t>2005-10-29</t>
        </is>
      </c>
      <c r="W109" t="inlineStr">
        <is>
          <t>1992-02-03</t>
        </is>
      </c>
      <c r="X109" t="inlineStr">
        <is>
          <t>1992-02-03</t>
        </is>
      </c>
      <c r="Y109" t="n">
        <v>483</v>
      </c>
      <c r="Z109" t="n">
        <v>454</v>
      </c>
      <c r="AA109" t="n">
        <v>472</v>
      </c>
      <c r="AB109" t="n">
        <v>6</v>
      </c>
      <c r="AC109" t="n">
        <v>6</v>
      </c>
      <c r="AD109" t="n">
        <v>17</v>
      </c>
      <c r="AE109" t="n">
        <v>17</v>
      </c>
      <c r="AF109" t="n">
        <v>7</v>
      </c>
      <c r="AG109" t="n">
        <v>7</v>
      </c>
      <c r="AH109" t="n">
        <v>2</v>
      </c>
      <c r="AI109" t="n">
        <v>2</v>
      </c>
      <c r="AJ109" t="n">
        <v>7</v>
      </c>
      <c r="AK109" t="n">
        <v>7</v>
      </c>
      <c r="AL109" t="n">
        <v>4</v>
      </c>
      <c r="AM109" t="n">
        <v>4</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HYPERLINK("https://creighton-primo.hosted.exlibrisgroup.com/primo-explore/search?tab=default_tab&amp;search_scope=EVERYTHING&amp;vid=01CRU&amp;lang=en_US&amp;offset=0&amp;query=any,contains,991002654779702656","Catalog Record")</f>
        <v/>
      </c>
      <c r="AT109">
        <f>HYPERLINK("http://www.worldcat.org/oclc/388353","WorldCat Record")</f>
        <v/>
      </c>
      <c r="AU109" t="inlineStr">
        <is>
          <t>4202695504:eng</t>
        </is>
      </c>
      <c r="AV109" t="inlineStr">
        <is>
          <t>388353</t>
        </is>
      </c>
      <c r="AW109" t="inlineStr">
        <is>
          <t>991002654779702656</t>
        </is>
      </c>
      <c r="AX109" t="inlineStr">
        <is>
          <t>991002654779702656</t>
        </is>
      </c>
      <c r="AY109" t="inlineStr">
        <is>
          <t>2255167950002656</t>
        </is>
      </c>
      <c r="AZ109" t="inlineStr">
        <is>
          <t>BOOK</t>
        </is>
      </c>
      <c r="BB109" t="inlineStr">
        <is>
          <t>9780810901391</t>
        </is>
      </c>
      <c r="BC109" t="inlineStr">
        <is>
          <t>32285000932961</t>
        </is>
      </c>
      <c r="BD109" t="inlineStr">
        <is>
          <t>893335548</t>
        </is>
      </c>
    </row>
    <row r="110">
      <c r="A110" t="inlineStr">
        <is>
          <t>No</t>
        </is>
      </c>
      <c r="B110" t="inlineStr">
        <is>
          <t>NB553.G4 L67 1985</t>
        </is>
      </c>
      <c r="C110" t="inlineStr">
        <is>
          <t>0                      NB 0553000G  4                  L  67          1985</t>
        </is>
      </c>
      <c r="D110" t="inlineStr">
        <is>
          <t>Giacometti, a biography / James Lord.</t>
        </is>
      </c>
      <c r="F110" t="inlineStr">
        <is>
          <t>No</t>
        </is>
      </c>
      <c r="G110" t="inlineStr">
        <is>
          <t>1</t>
        </is>
      </c>
      <c r="H110" t="inlineStr">
        <is>
          <t>No</t>
        </is>
      </c>
      <c r="I110" t="inlineStr">
        <is>
          <t>No</t>
        </is>
      </c>
      <c r="J110" t="inlineStr">
        <is>
          <t>0</t>
        </is>
      </c>
      <c r="K110" t="inlineStr">
        <is>
          <t>Lord, James.</t>
        </is>
      </c>
      <c r="L110" t="inlineStr">
        <is>
          <t>New York : Farrar, Straus, Giroux, 1985.</t>
        </is>
      </c>
      <c r="M110" t="inlineStr">
        <is>
          <t>1985</t>
        </is>
      </c>
      <c r="O110" t="inlineStr">
        <is>
          <t>eng</t>
        </is>
      </c>
      <c r="P110" t="inlineStr">
        <is>
          <t>nyu</t>
        </is>
      </c>
      <c r="R110" t="inlineStr">
        <is>
          <t xml:space="preserve">NB </t>
        </is>
      </c>
      <c r="S110" t="n">
        <v>3</v>
      </c>
      <c r="T110" t="n">
        <v>3</v>
      </c>
      <c r="U110" t="inlineStr">
        <is>
          <t>2009-01-17</t>
        </is>
      </c>
      <c r="V110" t="inlineStr">
        <is>
          <t>2009-01-17</t>
        </is>
      </c>
      <c r="W110" t="inlineStr">
        <is>
          <t>1990-06-19</t>
        </is>
      </c>
      <c r="X110" t="inlineStr">
        <is>
          <t>1990-06-19</t>
        </is>
      </c>
      <c r="Y110" t="n">
        <v>1105</v>
      </c>
      <c r="Z110" t="n">
        <v>1024</v>
      </c>
      <c r="AA110" t="n">
        <v>1029</v>
      </c>
      <c r="AB110" t="n">
        <v>8</v>
      </c>
      <c r="AC110" t="n">
        <v>8</v>
      </c>
      <c r="AD110" t="n">
        <v>33</v>
      </c>
      <c r="AE110" t="n">
        <v>33</v>
      </c>
      <c r="AF110" t="n">
        <v>16</v>
      </c>
      <c r="AG110" t="n">
        <v>16</v>
      </c>
      <c r="AH110" t="n">
        <v>6</v>
      </c>
      <c r="AI110" t="n">
        <v>6</v>
      </c>
      <c r="AJ110" t="n">
        <v>15</v>
      </c>
      <c r="AK110" t="n">
        <v>15</v>
      </c>
      <c r="AL110" t="n">
        <v>3</v>
      </c>
      <c r="AM110" t="n">
        <v>3</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HYPERLINK("https://creighton-primo.hosted.exlibrisgroup.com/primo-explore/search?tab=default_tab&amp;search_scope=EVERYTHING&amp;vid=01CRU&amp;lang=en_US&amp;offset=0&amp;query=any,contains,991000619069702656","Catalog Record")</f>
        <v/>
      </c>
      <c r="AT110">
        <f>HYPERLINK("http://www.worldcat.org/oclc/11970760","WorldCat Record")</f>
        <v/>
      </c>
      <c r="AU110" t="inlineStr">
        <is>
          <t>533128:eng</t>
        </is>
      </c>
      <c r="AV110" t="inlineStr">
        <is>
          <t>11970760</t>
        </is>
      </c>
      <c r="AW110" t="inlineStr">
        <is>
          <t>991000619069702656</t>
        </is>
      </c>
      <c r="AX110" t="inlineStr">
        <is>
          <t>991000619069702656</t>
        </is>
      </c>
      <c r="AY110" t="inlineStr">
        <is>
          <t>2255510180002656</t>
        </is>
      </c>
      <c r="AZ110" t="inlineStr">
        <is>
          <t>BOOK</t>
        </is>
      </c>
      <c r="BB110" t="inlineStr">
        <is>
          <t>9780374161989</t>
        </is>
      </c>
      <c r="BC110" t="inlineStr">
        <is>
          <t>32285000199041</t>
        </is>
      </c>
      <c r="BD110" t="inlineStr">
        <is>
          <t>893683590</t>
        </is>
      </c>
    </row>
    <row r="111">
      <c r="A111" t="inlineStr">
        <is>
          <t>No</t>
        </is>
      </c>
      <c r="B111" t="inlineStr">
        <is>
          <t>NB553.L242 N67 1974</t>
        </is>
      </c>
      <c r="C111" t="inlineStr">
        <is>
          <t>0                      NB 0553000L  242                N  67          1974</t>
        </is>
      </c>
      <c r="D111" t="inlineStr">
        <is>
          <t>Gaston Lachaise : the man and his work / Gerald Nordland.</t>
        </is>
      </c>
      <c r="F111" t="inlineStr">
        <is>
          <t>No</t>
        </is>
      </c>
      <c r="G111" t="inlineStr">
        <is>
          <t>1</t>
        </is>
      </c>
      <c r="H111" t="inlineStr">
        <is>
          <t>No</t>
        </is>
      </c>
      <c r="I111" t="inlineStr">
        <is>
          <t>No</t>
        </is>
      </c>
      <c r="J111" t="inlineStr">
        <is>
          <t>0</t>
        </is>
      </c>
      <c r="K111" t="inlineStr">
        <is>
          <t>Nordland, Gerald.</t>
        </is>
      </c>
      <c r="L111" t="inlineStr">
        <is>
          <t>New York : G. Braziller, [1974]</t>
        </is>
      </c>
      <c r="M111" t="inlineStr">
        <is>
          <t>1974</t>
        </is>
      </c>
      <c r="O111" t="inlineStr">
        <is>
          <t>eng</t>
        </is>
      </c>
      <c r="P111" t="inlineStr">
        <is>
          <t>nyu</t>
        </is>
      </c>
      <c r="R111" t="inlineStr">
        <is>
          <t xml:space="preserve">NB </t>
        </is>
      </c>
      <c r="S111" t="n">
        <v>3</v>
      </c>
      <c r="T111" t="n">
        <v>3</v>
      </c>
      <c r="U111" t="inlineStr">
        <is>
          <t>1998-12-11</t>
        </is>
      </c>
      <c r="V111" t="inlineStr">
        <is>
          <t>1998-12-11</t>
        </is>
      </c>
      <c r="W111" t="inlineStr">
        <is>
          <t>1997-08-18</t>
        </is>
      </c>
      <c r="X111" t="inlineStr">
        <is>
          <t>1997-08-18</t>
        </is>
      </c>
      <c r="Y111" t="n">
        <v>826</v>
      </c>
      <c r="Z111" t="n">
        <v>753</v>
      </c>
      <c r="AA111" t="n">
        <v>760</v>
      </c>
      <c r="AB111" t="n">
        <v>6</v>
      </c>
      <c r="AC111" t="n">
        <v>6</v>
      </c>
      <c r="AD111" t="n">
        <v>26</v>
      </c>
      <c r="AE111" t="n">
        <v>26</v>
      </c>
      <c r="AF111" t="n">
        <v>12</v>
      </c>
      <c r="AG111" t="n">
        <v>12</v>
      </c>
      <c r="AH111" t="n">
        <v>4</v>
      </c>
      <c r="AI111" t="n">
        <v>4</v>
      </c>
      <c r="AJ111" t="n">
        <v>12</v>
      </c>
      <c r="AK111" t="n">
        <v>12</v>
      </c>
      <c r="AL111" t="n">
        <v>4</v>
      </c>
      <c r="AM111" t="n">
        <v>4</v>
      </c>
      <c r="AN111" t="n">
        <v>0</v>
      </c>
      <c r="AO111" t="n">
        <v>0</v>
      </c>
      <c r="AP111" t="inlineStr">
        <is>
          <t>No</t>
        </is>
      </c>
      <c r="AQ111" t="inlineStr">
        <is>
          <t>Yes</t>
        </is>
      </c>
      <c r="AR111">
        <f>HYPERLINK("http://catalog.hathitrust.org/Record/000034838","HathiTrust Record")</f>
        <v/>
      </c>
      <c r="AS111">
        <f>HYPERLINK("https://creighton-primo.hosted.exlibrisgroup.com/primo-explore/search?tab=default_tab&amp;search_scope=EVERYTHING&amp;vid=01CRU&amp;lang=en_US&amp;offset=0&amp;query=any,contains,991003554399702656","Catalog Record")</f>
        <v/>
      </c>
      <c r="AT111">
        <f>HYPERLINK("http://www.worldcat.org/oclc/1121302","WorldCat Record")</f>
        <v/>
      </c>
      <c r="AU111" t="inlineStr">
        <is>
          <t>196542248:eng</t>
        </is>
      </c>
      <c r="AV111" t="inlineStr">
        <is>
          <t>1121302</t>
        </is>
      </c>
      <c r="AW111" t="inlineStr">
        <is>
          <t>991003554399702656</t>
        </is>
      </c>
      <c r="AX111" t="inlineStr">
        <is>
          <t>991003554399702656</t>
        </is>
      </c>
      <c r="AY111" t="inlineStr">
        <is>
          <t>2268397580002656</t>
        </is>
      </c>
      <c r="AZ111" t="inlineStr">
        <is>
          <t>BOOK</t>
        </is>
      </c>
      <c r="BB111" t="inlineStr">
        <is>
          <t>9780807607619</t>
        </is>
      </c>
      <c r="BC111" t="inlineStr">
        <is>
          <t>32285003078325</t>
        </is>
      </c>
      <c r="BD111" t="inlineStr">
        <is>
          <t>893868556</t>
        </is>
      </c>
    </row>
    <row r="112">
      <c r="A112" t="inlineStr">
        <is>
          <t>No</t>
        </is>
      </c>
      <c r="B112" t="inlineStr">
        <is>
          <t>NB553.L55 P87 2002</t>
        </is>
      </c>
      <c r="C112" t="inlineStr">
        <is>
          <t>0                      NB 0553000L  55                 P  87          2002</t>
        </is>
      </c>
      <c r="D112" t="inlineStr">
        <is>
          <t>Jacques Lipchitz : the first cubist sculptor / Catherine Pütz.</t>
        </is>
      </c>
      <c r="F112" t="inlineStr">
        <is>
          <t>No</t>
        </is>
      </c>
      <c r="G112" t="inlineStr">
        <is>
          <t>1</t>
        </is>
      </c>
      <c r="H112" t="inlineStr">
        <is>
          <t>No</t>
        </is>
      </c>
      <c r="I112" t="inlineStr">
        <is>
          <t>No</t>
        </is>
      </c>
      <c r="J112" t="inlineStr">
        <is>
          <t>0</t>
        </is>
      </c>
      <c r="K112" t="inlineStr">
        <is>
          <t>Pütz, Cathy.</t>
        </is>
      </c>
      <c r="L112" t="inlineStr">
        <is>
          <t>London : Paul Holberton Pub. ; Aldershot, Hampshire ; Burlington, VT : Lund Humphries, 2002.</t>
        </is>
      </c>
      <c r="M112" t="inlineStr">
        <is>
          <t>2002</t>
        </is>
      </c>
      <c r="O112" t="inlineStr">
        <is>
          <t>eng</t>
        </is>
      </c>
      <c r="P112" t="inlineStr">
        <is>
          <t>vtu</t>
        </is>
      </c>
      <c r="R112" t="inlineStr">
        <is>
          <t xml:space="preserve">NB </t>
        </is>
      </c>
      <c r="S112" t="n">
        <v>1</v>
      </c>
      <c r="T112" t="n">
        <v>1</v>
      </c>
      <c r="U112" t="inlineStr">
        <is>
          <t>2005-03-22</t>
        </is>
      </c>
      <c r="V112" t="inlineStr">
        <is>
          <t>2005-03-22</t>
        </is>
      </c>
      <c r="W112" t="inlineStr">
        <is>
          <t>2005-03-22</t>
        </is>
      </c>
      <c r="X112" t="inlineStr">
        <is>
          <t>2005-03-22</t>
        </is>
      </c>
      <c r="Y112" t="n">
        <v>656</v>
      </c>
      <c r="Z112" t="n">
        <v>551</v>
      </c>
      <c r="AA112" t="n">
        <v>552</v>
      </c>
      <c r="AB112" t="n">
        <v>7</v>
      </c>
      <c r="AC112" t="n">
        <v>7</v>
      </c>
      <c r="AD112" t="n">
        <v>20</v>
      </c>
      <c r="AE112" t="n">
        <v>20</v>
      </c>
      <c r="AF112" t="n">
        <v>9</v>
      </c>
      <c r="AG112" t="n">
        <v>9</v>
      </c>
      <c r="AH112" t="n">
        <v>3</v>
      </c>
      <c r="AI112" t="n">
        <v>3</v>
      </c>
      <c r="AJ112" t="n">
        <v>7</v>
      </c>
      <c r="AK112" t="n">
        <v>7</v>
      </c>
      <c r="AL112" t="n">
        <v>4</v>
      </c>
      <c r="AM112" t="n">
        <v>4</v>
      </c>
      <c r="AN112" t="n">
        <v>0</v>
      </c>
      <c r="AO112" t="n">
        <v>0</v>
      </c>
      <c r="AP112" t="inlineStr">
        <is>
          <t>No</t>
        </is>
      </c>
      <c r="AQ112" t="inlineStr">
        <is>
          <t>Yes</t>
        </is>
      </c>
      <c r="AR112">
        <f>HYPERLINK("http://catalog.hathitrust.org/Record/004280875","HathiTrust Record")</f>
        <v/>
      </c>
      <c r="AS112">
        <f>HYPERLINK("https://creighton-primo.hosted.exlibrisgroup.com/primo-explore/search?tab=default_tab&amp;search_scope=EVERYTHING&amp;vid=01CRU&amp;lang=en_US&amp;offset=0&amp;query=any,contains,991004492819702656","Catalog Record")</f>
        <v/>
      </c>
      <c r="AT112">
        <f>HYPERLINK("http://www.worldcat.org/oclc/49205781","WorldCat Record")</f>
        <v/>
      </c>
      <c r="AU112" t="inlineStr">
        <is>
          <t>838711615:eng</t>
        </is>
      </c>
      <c r="AV112" t="inlineStr">
        <is>
          <t>49205781</t>
        </is>
      </c>
      <c r="AW112" t="inlineStr">
        <is>
          <t>991004492819702656</t>
        </is>
      </c>
      <c r="AX112" t="inlineStr">
        <is>
          <t>991004492819702656</t>
        </is>
      </c>
      <c r="AY112" t="inlineStr">
        <is>
          <t>2265311180002656</t>
        </is>
      </c>
      <c r="AZ112" t="inlineStr">
        <is>
          <t>BOOK</t>
        </is>
      </c>
      <c r="BB112" t="inlineStr">
        <is>
          <t>9780853318606</t>
        </is>
      </c>
      <c r="BC112" t="inlineStr">
        <is>
          <t>32285005044127</t>
        </is>
      </c>
      <c r="BD112" t="inlineStr">
        <is>
          <t>893788756</t>
        </is>
      </c>
    </row>
    <row r="113">
      <c r="A113" t="inlineStr">
        <is>
          <t>No</t>
        </is>
      </c>
      <c r="B113" t="inlineStr">
        <is>
          <t>NB553.M3 W3</t>
        </is>
      </c>
      <c r="C113" t="inlineStr">
        <is>
          <t>0                      NB 0553000M  3                  W  3</t>
        </is>
      </c>
      <c r="D113" t="inlineStr">
        <is>
          <t>Aristide Maillol [by] Waldemar-George. With a biography by Dina Vierny. [Translated from the French by Diana Imber]</t>
        </is>
      </c>
      <c r="F113" t="inlineStr">
        <is>
          <t>No</t>
        </is>
      </c>
      <c r="G113" t="inlineStr">
        <is>
          <t>1</t>
        </is>
      </c>
      <c r="H113" t="inlineStr">
        <is>
          <t>No</t>
        </is>
      </c>
      <c r="I113" t="inlineStr">
        <is>
          <t>No</t>
        </is>
      </c>
      <c r="J113" t="inlineStr">
        <is>
          <t>0</t>
        </is>
      </c>
      <c r="K113" t="inlineStr">
        <is>
          <t>Waldemar George, 1893-1970.</t>
        </is>
      </c>
      <c r="L113" t="inlineStr">
        <is>
          <t>Greenwich, Conn., New York Graphic Society [1965]</t>
        </is>
      </c>
      <c r="M113" t="inlineStr">
        <is>
          <t>1965</t>
        </is>
      </c>
      <c r="O113" t="inlineStr">
        <is>
          <t>eng</t>
        </is>
      </c>
      <c r="P113" t="inlineStr">
        <is>
          <t>ctu</t>
        </is>
      </c>
      <c r="R113" t="inlineStr">
        <is>
          <t xml:space="preserve">NB </t>
        </is>
      </c>
      <c r="S113" t="n">
        <v>3</v>
      </c>
      <c r="T113" t="n">
        <v>3</v>
      </c>
      <c r="U113" t="inlineStr">
        <is>
          <t>1998-11-30</t>
        </is>
      </c>
      <c r="V113" t="inlineStr">
        <is>
          <t>1998-11-30</t>
        </is>
      </c>
      <c r="W113" t="inlineStr">
        <is>
          <t>1997-07-03</t>
        </is>
      </c>
      <c r="X113" t="inlineStr">
        <is>
          <t>1997-07-03</t>
        </is>
      </c>
      <c r="Y113" t="n">
        <v>700</v>
      </c>
      <c r="Z113" t="n">
        <v>662</v>
      </c>
      <c r="AA113" t="n">
        <v>723</v>
      </c>
      <c r="AB113" t="n">
        <v>4</v>
      </c>
      <c r="AC113" t="n">
        <v>4</v>
      </c>
      <c r="AD113" t="n">
        <v>22</v>
      </c>
      <c r="AE113" t="n">
        <v>22</v>
      </c>
      <c r="AF113" t="n">
        <v>5</v>
      </c>
      <c r="AG113" t="n">
        <v>5</v>
      </c>
      <c r="AH113" t="n">
        <v>4</v>
      </c>
      <c r="AI113" t="n">
        <v>4</v>
      </c>
      <c r="AJ113" t="n">
        <v>12</v>
      </c>
      <c r="AK113" t="n">
        <v>12</v>
      </c>
      <c r="AL113" t="n">
        <v>3</v>
      </c>
      <c r="AM113" t="n">
        <v>3</v>
      </c>
      <c r="AN113" t="n">
        <v>0</v>
      </c>
      <c r="AO113" t="n">
        <v>0</v>
      </c>
      <c r="AP113" t="inlineStr">
        <is>
          <t>No</t>
        </is>
      </c>
      <c r="AQ113" t="inlineStr">
        <is>
          <t>Yes</t>
        </is>
      </c>
      <c r="AR113">
        <f>HYPERLINK("http://catalog.hathitrust.org/Record/008510344","HathiTrust Record")</f>
        <v/>
      </c>
      <c r="AS113">
        <f>HYPERLINK("https://creighton-primo.hosted.exlibrisgroup.com/primo-explore/search?tab=default_tab&amp;search_scope=EVERYTHING&amp;vid=01CRU&amp;lang=en_US&amp;offset=0&amp;query=any,contains,991001181959702656","Catalog Record")</f>
        <v/>
      </c>
      <c r="AT113">
        <f>HYPERLINK("http://www.worldcat.org/oclc/190639","WorldCat Record")</f>
        <v/>
      </c>
      <c r="AU113" t="inlineStr">
        <is>
          <t>14646323:eng</t>
        </is>
      </c>
      <c r="AV113" t="inlineStr">
        <is>
          <t>190639</t>
        </is>
      </c>
      <c r="AW113" t="inlineStr">
        <is>
          <t>991001181959702656</t>
        </is>
      </c>
      <c r="AX113" t="inlineStr">
        <is>
          <t>991001181959702656</t>
        </is>
      </c>
      <c r="AY113" t="inlineStr">
        <is>
          <t>2259439680002656</t>
        </is>
      </c>
      <c r="AZ113" t="inlineStr">
        <is>
          <t>BOOK</t>
        </is>
      </c>
      <c r="BC113" t="inlineStr">
        <is>
          <t>32285002863800</t>
        </is>
      </c>
      <c r="BD113" t="inlineStr">
        <is>
          <t>893608630</t>
        </is>
      </c>
    </row>
    <row r="114">
      <c r="A114" t="inlineStr">
        <is>
          <t>No</t>
        </is>
      </c>
      <c r="B114" t="inlineStr">
        <is>
          <t>NB553.M39 M6 1984</t>
        </is>
      </c>
      <c r="C114" t="inlineStr">
        <is>
          <t>0                      NB 0553000M  39                 M  6           1984</t>
        </is>
      </c>
      <c r="D114" t="inlineStr">
        <is>
          <t>The sculpture of Henri Matisse / Isabelle Monod-Fontaine.</t>
        </is>
      </c>
      <c r="F114" t="inlineStr">
        <is>
          <t>No</t>
        </is>
      </c>
      <c r="G114" t="inlineStr">
        <is>
          <t>1</t>
        </is>
      </c>
      <c r="H114" t="inlineStr">
        <is>
          <t>No</t>
        </is>
      </c>
      <c r="I114" t="inlineStr">
        <is>
          <t>No</t>
        </is>
      </c>
      <c r="J114" t="inlineStr">
        <is>
          <t>0</t>
        </is>
      </c>
      <c r="K114" t="inlineStr">
        <is>
          <t>Monod-Fontaine, Isabelle.</t>
        </is>
      </c>
      <c r="L114" t="inlineStr">
        <is>
          <t>New York, N.Y. : Thames and Hudson, c1984.</t>
        </is>
      </c>
      <c r="M114" t="inlineStr">
        <is>
          <t>1984</t>
        </is>
      </c>
      <c r="O114" t="inlineStr">
        <is>
          <t>eng</t>
        </is>
      </c>
      <c r="P114" t="inlineStr">
        <is>
          <t>nyu</t>
        </is>
      </c>
      <c r="R114" t="inlineStr">
        <is>
          <t xml:space="preserve">NB </t>
        </is>
      </c>
      <c r="S114" t="n">
        <v>16</v>
      </c>
      <c r="T114" t="n">
        <v>16</v>
      </c>
      <c r="U114" t="inlineStr">
        <is>
          <t>1999-01-27</t>
        </is>
      </c>
      <c r="V114" t="inlineStr">
        <is>
          <t>1999-01-27</t>
        </is>
      </c>
      <c r="W114" t="inlineStr">
        <is>
          <t>1993-05-18</t>
        </is>
      </c>
      <c r="X114" t="inlineStr">
        <is>
          <t>1993-05-18</t>
        </is>
      </c>
      <c r="Y114" t="n">
        <v>613</v>
      </c>
      <c r="Z114" t="n">
        <v>518</v>
      </c>
      <c r="AA114" t="n">
        <v>628</v>
      </c>
      <c r="AB114" t="n">
        <v>4</v>
      </c>
      <c r="AC114" t="n">
        <v>6</v>
      </c>
      <c r="AD114" t="n">
        <v>19</v>
      </c>
      <c r="AE114" t="n">
        <v>24</v>
      </c>
      <c r="AF114" t="n">
        <v>13</v>
      </c>
      <c r="AG114" t="n">
        <v>14</v>
      </c>
      <c r="AH114" t="n">
        <v>2</v>
      </c>
      <c r="AI114" t="n">
        <v>3</v>
      </c>
      <c r="AJ114" t="n">
        <v>8</v>
      </c>
      <c r="AK114" t="n">
        <v>9</v>
      </c>
      <c r="AL114" t="n">
        <v>3</v>
      </c>
      <c r="AM114" t="n">
        <v>5</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HYPERLINK("https://creighton-primo.hosted.exlibrisgroup.com/primo-explore/search?tab=default_tab&amp;search_scope=EVERYTHING&amp;vid=01CRU&amp;lang=en_US&amp;offset=0&amp;query=any,contains,991000512329702656","Catalog Record")</f>
        <v/>
      </c>
      <c r="AT114">
        <f>HYPERLINK("http://www.worldcat.org/oclc/11251112","WorldCat Record")</f>
        <v/>
      </c>
      <c r="AU114" t="inlineStr">
        <is>
          <t>3133239:eng</t>
        </is>
      </c>
      <c r="AV114" t="inlineStr">
        <is>
          <t>11251112</t>
        </is>
      </c>
      <c r="AW114" t="inlineStr">
        <is>
          <t>991000512329702656</t>
        </is>
      </c>
      <c r="AX114" t="inlineStr">
        <is>
          <t>991000512329702656</t>
        </is>
      </c>
      <c r="AY114" t="inlineStr">
        <is>
          <t>2268684110002656</t>
        </is>
      </c>
      <c r="AZ114" t="inlineStr">
        <is>
          <t>BOOK</t>
        </is>
      </c>
      <c r="BB114" t="inlineStr">
        <is>
          <t>9780500234006</t>
        </is>
      </c>
      <c r="BC114" t="inlineStr">
        <is>
          <t>32285001659316</t>
        </is>
      </c>
      <c r="BD114" t="inlineStr">
        <is>
          <t>893808720</t>
        </is>
      </c>
    </row>
    <row r="115">
      <c r="A115" t="inlineStr">
        <is>
          <t>No</t>
        </is>
      </c>
      <c r="B115" t="inlineStr">
        <is>
          <t>NB553.P45 P42</t>
        </is>
      </c>
      <c r="C115" t="inlineStr">
        <is>
          <t>0                      NB 0553000P  45                 P  42</t>
        </is>
      </c>
      <c r="D115" t="inlineStr">
        <is>
          <t>The sculpture of Picasso / chronology by Alicia Legg.</t>
        </is>
      </c>
      <c r="F115" t="inlineStr">
        <is>
          <t>No</t>
        </is>
      </c>
      <c r="G115" t="inlineStr">
        <is>
          <t>1</t>
        </is>
      </c>
      <c r="H115" t="inlineStr">
        <is>
          <t>No</t>
        </is>
      </c>
      <c r="I115" t="inlineStr">
        <is>
          <t>No</t>
        </is>
      </c>
      <c r="J115" t="inlineStr">
        <is>
          <t>0</t>
        </is>
      </c>
      <c r="K115" t="inlineStr">
        <is>
          <t>Penrose, Roland, Sir</t>
        </is>
      </c>
      <c r="L115" t="inlineStr">
        <is>
          <t>New York : Museum of Modern Art, [1967]</t>
        </is>
      </c>
      <c r="M115" t="inlineStr">
        <is>
          <t>1967</t>
        </is>
      </c>
      <c r="O115" t="inlineStr">
        <is>
          <t>eng</t>
        </is>
      </c>
      <c r="P115" t="inlineStr">
        <is>
          <t>nyu</t>
        </is>
      </c>
      <c r="R115" t="inlineStr">
        <is>
          <t xml:space="preserve">NB </t>
        </is>
      </c>
      <c r="S115" t="n">
        <v>7</v>
      </c>
      <c r="T115" t="n">
        <v>7</v>
      </c>
      <c r="U115" t="inlineStr">
        <is>
          <t>1998-10-13</t>
        </is>
      </c>
      <c r="V115" t="inlineStr">
        <is>
          <t>1998-10-13</t>
        </is>
      </c>
      <c r="W115" t="inlineStr">
        <is>
          <t>1993-05-10</t>
        </is>
      </c>
      <c r="X115" t="inlineStr">
        <is>
          <t>1993-05-10</t>
        </is>
      </c>
      <c r="Y115" t="n">
        <v>1427</v>
      </c>
      <c r="Z115" t="n">
        <v>1276</v>
      </c>
      <c r="AA115" t="n">
        <v>1306</v>
      </c>
      <c r="AB115" t="n">
        <v>10</v>
      </c>
      <c r="AC115" t="n">
        <v>10</v>
      </c>
      <c r="AD115" t="n">
        <v>39</v>
      </c>
      <c r="AE115" t="n">
        <v>39</v>
      </c>
      <c r="AF115" t="n">
        <v>14</v>
      </c>
      <c r="AG115" t="n">
        <v>14</v>
      </c>
      <c r="AH115" t="n">
        <v>9</v>
      </c>
      <c r="AI115" t="n">
        <v>9</v>
      </c>
      <c r="AJ115" t="n">
        <v>15</v>
      </c>
      <c r="AK115" t="n">
        <v>15</v>
      </c>
      <c r="AL115" t="n">
        <v>7</v>
      </c>
      <c r="AM115" t="n">
        <v>7</v>
      </c>
      <c r="AN115" t="n">
        <v>0</v>
      </c>
      <c r="AO115" t="n">
        <v>0</v>
      </c>
      <c r="AP115" t="inlineStr">
        <is>
          <t>No</t>
        </is>
      </c>
      <c r="AQ115" t="inlineStr">
        <is>
          <t>Yes</t>
        </is>
      </c>
      <c r="AR115">
        <f>HYPERLINK("http://catalog.hathitrust.org/Record/001467962","HathiTrust Record")</f>
        <v/>
      </c>
      <c r="AS115">
        <f>HYPERLINK("https://creighton-primo.hosted.exlibrisgroup.com/primo-explore/search?tab=default_tab&amp;search_scope=EVERYTHING&amp;vid=01CRU&amp;lang=en_US&amp;offset=0&amp;query=any,contains,991003364009702656","Catalog Record")</f>
        <v/>
      </c>
      <c r="AT115">
        <f>HYPERLINK("http://www.worldcat.org/oclc/900480","WorldCat Record")</f>
        <v/>
      </c>
      <c r="AU115" t="inlineStr">
        <is>
          <t>1627551:eng</t>
        </is>
      </c>
      <c r="AV115" t="inlineStr">
        <is>
          <t>900480</t>
        </is>
      </c>
      <c r="AW115" t="inlineStr">
        <is>
          <t>991003364009702656</t>
        </is>
      </c>
      <c r="AX115" t="inlineStr">
        <is>
          <t>991003364009702656</t>
        </is>
      </c>
      <c r="AY115" t="inlineStr">
        <is>
          <t>2266400990002656</t>
        </is>
      </c>
      <c r="AZ115" t="inlineStr">
        <is>
          <t>BOOK</t>
        </is>
      </c>
      <c r="BC115" t="inlineStr">
        <is>
          <t>32285001652543</t>
        </is>
      </c>
      <c r="BD115" t="inlineStr">
        <is>
          <t>893410222</t>
        </is>
      </c>
    </row>
    <row r="116">
      <c r="A116" t="inlineStr">
        <is>
          <t>No</t>
        </is>
      </c>
      <c r="B116" t="inlineStr">
        <is>
          <t>NB553.P45 S6413 2000</t>
        </is>
      </c>
      <c r="C116" t="inlineStr">
        <is>
          <t>0                      NB 0553000P  45                 S  6413        2000</t>
        </is>
      </c>
      <c r="D116" t="inlineStr">
        <is>
          <t>Picasso, the sculptures / Werner Spies ; catalogue raisonné of the sculptures in collaboration with Christine Piot.</t>
        </is>
      </c>
      <c r="F116" t="inlineStr">
        <is>
          <t>No</t>
        </is>
      </c>
      <c r="G116" t="inlineStr">
        <is>
          <t>1</t>
        </is>
      </c>
      <c r="H116" t="inlineStr">
        <is>
          <t>No</t>
        </is>
      </c>
      <c r="I116" t="inlineStr">
        <is>
          <t>No</t>
        </is>
      </c>
      <c r="J116" t="inlineStr">
        <is>
          <t>0</t>
        </is>
      </c>
      <c r="K116" t="inlineStr">
        <is>
          <t>Spies, Werner, 1937-</t>
        </is>
      </c>
      <c r="L116" t="inlineStr">
        <is>
          <t>Ostfildern/Stuttgart, Germany : Hatje Cantz, c2000.</t>
        </is>
      </c>
      <c r="M116" t="inlineStr">
        <is>
          <t>2000</t>
        </is>
      </c>
      <c r="O116" t="inlineStr">
        <is>
          <t>eng</t>
        </is>
      </c>
      <c r="P116" t="inlineStr">
        <is>
          <t xml:space="preserve">gw </t>
        </is>
      </c>
      <c r="R116" t="inlineStr">
        <is>
          <t xml:space="preserve">NB </t>
        </is>
      </c>
      <c r="S116" t="n">
        <v>5</v>
      </c>
      <c r="T116" t="n">
        <v>5</v>
      </c>
      <c r="U116" t="inlineStr">
        <is>
          <t>2005-01-17</t>
        </is>
      </c>
      <c r="V116" t="inlineStr">
        <is>
          <t>2005-01-17</t>
        </is>
      </c>
      <c r="W116" t="inlineStr">
        <is>
          <t>2001-02-06</t>
        </is>
      </c>
      <c r="X116" t="inlineStr">
        <is>
          <t>2001-02-06</t>
        </is>
      </c>
      <c r="Y116" t="n">
        <v>499</v>
      </c>
      <c r="Z116" t="n">
        <v>420</v>
      </c>
      <c r="AA116" t="n">
        <v>435</v>
      </c>
      <c r="AB116" t="n">
        <v>2</v>
      </c>
      <c r="AC116" t="n">
        <v>2</v>
      </c>
      <c r="AD116" t="n">
        <v>19</v>
      </c>
      <c r="AE116" t="n">
        <v>19</v>
      </c>
      <c r="AF116" t="n">
        <v>9</v>
      </c>
      <c r="AG116" t="n">
        <v>9</v>
      </c>
      <c r="AH116" t="n">
        <v>4</v>
      </c>
      <c r="AI116" t="n">
        <v>4</v>
      </c>
      <c r="AJ116" t="n">
        <v>10</v>
      </c>
      <c r="AK116" t="n">
        <v>10</v>
      </c>
      <c r="AL116" t="n">
        <v>1</v>
      </c>
      <c r="AM116" t="n">
        <v>1</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HYPERLINK("https://creighton-primo.hosted.exlibrisgroup.com/primo-explore/search?tab=default_tab&amp;search_scope=EVERYTHING&amp;vid=01CRU&amp;lang=en_US&amp;offset=0&amp;query=any,contains,991003472679702656","Catalog Record")</f>
        <v/>
      </c>
      <c r="AT116">
        <f>HYPERLINK("http://www.worldcat.org/oclc/44569891","WorldCat Record")</f>
        <v/>
      </c>
      <c r="AU116" t="inlineStr">
        <is>
          <t>9463422650:eng</t>
        </is>
      </c>
      <c r="AV116" t="inlineStr">
        <is>
          <t>44569891</t>
        </is>
      </c>
      <c r="AW116" t="inlineStr">
        <is>
          <t>991003472679702656</t>
        </is>
      </c>
      <c r="AX116" t="inlineStr">
        <is>
          <t>991003472679702656</t>
        </is>
      </c>
      <c r="AY116" t="inlineStr">
        <is>
          <t>2258504030002656</t>
        </is>
      </c>
      <c r="AZ116" t="inlineStr">
        <is>
          <t>BOOK</t>
        </is>
      </c>
      <c r="BB116" t="inlineStr">
        <is>
          <t>9783775709095</t>
        </is>
      </c>
      <c r="BC116" t="inlineStr">
        <is>
          <t>32285004293881</t>
        </is>
      </c>
      <c r="BD116" t="inlineStr">
        <is>
          <t>893352844</t>
        </is>
      </c>
    </row>
    <row r="117">
      <c r="A117" t="inlineStr">
        <is>
          <t>No</t>
        </is>
      </c>
      <c r="B117" t="inlineStr">
        <is>
          <t>NB553.R7 A75 1998</t>
        </is>
      </c>
      <c r="C117" t="inlineStr">
        <is>
          <t>0                      NB 0553000R  7                  A  75          1998</t>
        </is>
      </c>
      <c r="D117" t="inlineStr">
        <is>
          <t>Rodin's Monument to Victor Hugo / Ruth Butler, Jeanine Parisier Plottel, Jane Mayo Roos ; exhibition organized by the Iris and B. Gerald Cantor Foundation ; curated by Rachel Blackburn.</t>
        </is>
      </c>
      <c r="F117" t="inlineStr">
        <is>
          <t>No</t>
        </is>
      </c>
      <c r="G117" t="inlineStr">
        <is>
          <t>1</t>
        </is>
      </c>
      <c r="H117" t="inlineStr">
        <is>
          <t>No</t>
        </is>
      </c>
      <c r="I117" t="inlineStr">
        <is>
          <t>No</t>
        </is>
      </c>
      <c r="J117" t="inlineStr">
        <is>
          <t>0</t>
        </is>
      </c>
      <c r="K117" t="inlineStr">
        <is>
          <t>Butler, Ruth, 1931-</t>
        </is>
      </c>
      <c r="L117" t="inlineStr">
        <is>
          <t>London : Merrell Holberton ; Los Angeles : in association with the Iris &amp; B. Gerald Cantor Foundation, c1998.</t>
        </is>
      </c>
      <c r="M117" t="inlineStr">
        <is>
          <t>1998</t>
        </is>
      </c>
      <c r="O117" t="inlineStr">
        <is>
          <t>eng</t>
        </is>
      </c>
      <c r="P117" t="inlineStr">
        <is>
          <t>enk</t>
        </is>
      </c>
      <c r="R117" t="inlineStr">
        <is>
          <t xml:space="preserve">NB </t>
        </is>
      </c>
      <c r="S117" t="n">
        <v>1</v>
      </c>
      <c r="T117" t="n">
        <v>1</v>
      </c>
      <c r="U117" t="inlineStr">
        <is>
          <t>2009-04-14</t>
        </is>
      </c>
      <c r="V117" t="inlineStr">
        <is>
          <t>2009-04-14</t>
        </is>
      </c>
      <c r="W117" t="inlineStr">
        <is>
          <t>2009-04-14</t>
        </is>
      </c>
      <c r="X117" t="inlineStr">
        <is>
          <t>2009-04-14</t>
        </is>
      </c>
      <c r="Y117" t="n">
        <v>259</v>
      </c>
      <c r="Z117" t="n">
        <v>195</v>
      </c>
      <c r="AA117" t="n">
        <v>196</v>
      </c>
      <c r="AB117" t="n">
        <v>3</v>
      </c>
      <c r="AC117" t="n">
        <v>3</v>
      </c>
      <c r="AD117" t="n">
        <v>12</v>
      </c>
      <c r="AE117" t="n">
        <v>12</v>
      </c>
      <c r="AF117" t="n">
        <v>3</v>
      </c>
      <c r="AG117" t="n">
        <v>3</v>
      </c>
      <c r="AH117" t="n">
        <v>3</v>
      </c>
      <c r="AI117" t="n">
        <v>3</v>
      </c>
      <c r="AJ117" t="n">
        <v>8</v>
      </c>
      <c r="AK117" t="n">
        <v>8</v>
      </c>
      <c r="AL117" t="n">
        <v>1</v>
      </c>
      <c r="AM117" t="n">
        <v>1</v>
      </c>
      <c r="AN117" t="n">
        <v>0</v>
      </c>
      <c r="AO117" t="n">
        <v>0</v>
      </c>
      <c r="AP117" t="inlineStr">
        <is>
          <t>No</t>
        </is>
      </c>
      <c r="AQ117" t="inlineStr">
        <is>
          <t>Yes</t>
        </is>
      </c>
      <c r="AR117">
        <f>HYPERLINK("http://catalog.hathitrust.org/Record/004058497","HathiTrust Record")</f>
        <v/>
      </c>
      <c r="AS117">
        <f>HYPERLINK("https://creighton-primo.hosted.exlibrisgroup.com/primo-explore/search?tab=default_tab&amp;search_scope=EVERYTHING&amp;vid=01CRU&amp;lang=en_US&amp;offset=0&amp;query=any,contains,991005305659702656","Catalog Record")</f>
        <v/>
      </c>
      <c r="AT117">
        <f>HYPERLINK("http://www.worldcat.org/oclc/40730825","WorldCat Record")</f>
        <v/>
      </c>
      <c r="AU117" t="inlineStr">
        <is>
          <t>25504178:eng</t>
        </is>
      </c>
      <c r="AV117" t="inlineStr">
        <is>
          <t>40730825</t>
        </is>
      </c>
      <c r="AW117" t="inlineStr">
        <is>
          <t>991005305659702656</t>
        </is>
      </c>
      <c r="AX117" t="inlineStr">
        <is>
          <t>991005305659702656</t>
        </is>
      </c>
      <c r="AY117" t="inlineStr">
        <is>
          <t>2260236350002656</t>
        </is>
      </c>
      <c r="AZ117" t="inlineStr">
        <is>
          <t>BOOK</t>
        </is>
      </c>
      <c r="BB117" t="inlineStr">
        <is>
          <t>9781858940700</t>
        </is>
      </c>
      <c r="BC117" t="inlineStr">
        <is>
          <t>32285005515340</t>
        </is>
      </c>
      <c r="BD117" t="inlineStr">
        <is>
          <t>893514418</t>
        </is>
      </c>
    </row>
    <row r="118">
      <c r="A118" t="inlineStr">
        <is>
          <t>No</t>
        </is>
      </c>
      <c r="B118" t="inlineStr">
        <is>
          <t>NB553.R7 B88 1993</t>
        </is>
      </c>
      <c r="C118" t="inlineStr">
        <is>
          <t>0                      NB 0553000R  7                  B  88          1993</t>
        </is>
      </c>
      <c r="D118" t="inlineStr">
        <is>
          <t>Rodin : the shape of genius / Ruth Butler.</t>
        </is>
      </c>
      <c r="F118" t="inlineStr">
        <is>
          <t>No</t>
        </is>
      </c>
      <c r="G118" t="inlineStr">
        <is>
          <t>1</t>
        </is>
      </c>
      <c r="H118" t="inlineStr">
        <is>
          <t>No</t>
        </is>
      </c>
      <c r="I118" t="inlineStr">
        <is>
          <t>No</t>
        </is>
      </c>
      <c r="J118" t="inlineStr">
        <is>
          <t>0</t>
        </is>
      </c>
      <c r="K118" t="inlineStr">
        <is>
          <t>Butler, Ruth, 1931-</t>
        </is>
      </c>
      <c r="L118" t="inlineStr">
        <is>
          <t>New Haven : Yale University Press, 1993.</t>
        </is>
      </c>
      <c r="M118" t="inlineStr">
        <is>
          <t>1993</t>
        </is>
      </c>
      <c r="O118" t="inlineStr">
        <is>
          <t>eng</t>
        </is>
      </c>
      <c r="P118" t="inlineStr">
        <is>
          <t>ctu</t>
        </is>
      </c>
      <c r="R118" t="inlineStr">
        <is>
          <t xml:space="preserve">NB </t>
        </is>
      </c>
      <c r="S118" t="n">
        <v>1</v>
      </c>
      <c r="T118" t="n">
        <v>1</v>
      </c>
      <c r="U118" t="inlineStr">
        <is>
          <t>2008-12-02</t>
        </is>
      </c>
      <c r="V118" t="inlineStr">
        <is>
          <t>2008-12-02</t>
        </is>
      </c>
      <c r="W118" t="inlineStr">
        <is>
          <t>1994-03-22</t>
        </is>
      </c>
      <c r="X118" t="inlineStr">
        <is>
          <t>1994-03-22</t>
        </is>
      </c>
      <c r="Y118" t="n">
        <v>1353</v>
      </c>
      <c r="Z118" t="n">
        <v>1148</v>
      </c>
      <c r="AA118" t="n">
        <v>1155</v>
      </c>
      <c r="AB118" t="n">
        <v>7</v>
      </c>
      <c r="AC118" t="n">
        <v>7</v>
      </c>
      <c r="AD118" t="n">
        <v>40</v>
      </c>
      <c r="AE118" t="n">
        <v>40</v>
      </c>
      <c r="AF118" t="n">
        <v>17</v>
      </c>
      <c r="AG118" t="n">
        <v>17</v>
      </c>
      <c r="AH118" t="n">
        <v>10</v>
      </c>
      <c r="AI118" t="n">
        <v>10</v>
      </c>
      <c r="AJ118" t="n">
        <v>23</v>
      </c>
      <c r="AK118" t="n">
        <v>23</v>
      </c>
      <c r="AL118" t="n">
        <v>3</v>
      </c>
      <c r="AM118" t="n">
        <v>3</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HYPERLINK("https://creighton-primo.hosted.exlibrisgroup.com/primo-explore/search?tab=default_tab&amp;search_scope=EVERYTHING&amp;vid=01CRU&amp;lang=en_US&amp;offset=0&amp;query=any,contains,991002117929702656","Catalog Record")</f>
        <v/>
      </c>
      <c r="AT118">
        <f>HYPERLINK("http://www.worldcat.org/oclc/27145570","WorldCat Record")</f>
        <v/>
      </c>
      <c r="AU118" t="inlineStr">
        <is>
          <t>836892730:eng</t>
        </is>
      </c>
      <c r="AV118" t="inlineStr">
        <is>
          <t>27145570</t>
        </is>
      </c>
      <c r="AW118" t="inlineStr">
        <is>
          <t>991002117929702656</t>
        </is>
      </c>
      <c r="AX118" t="inlineStr">
        <is>
          <t>991002117929702656</t>
        </is>
      </c>
      <c r="AY118" t="inlineStr">
        <is>
          <t>2255414200002656</t>
        </is>
      </c>
      <c r="AZ118" t="inlineStr">
        <is>
          <t>BOOK</t>
        </is>
      </c>
      <c r="BB118" t="inlineStr">
        <is>
          <t>9780300054002</t>
        </is>
      </c>
      <c r="BC118" t="inlineStr">
        <is>
          <t>32285001856862</t>
        </is>
      </c>
      <c r="BD118" t="inlineStr">
        <is>
          <t>893716072</t>
        </is>
      </c>
    </row>
    <row r="119">
      <c r="A119" t="inlineStr">
        <is>
          <t>No</t>
        </is>
      </c>
      <c r="B119" t="inlineStr">
        <is>
          <t>NB553.R7 E38</t>
        </is>
      </c>
      <c r="C119" t="inlineStr">
        <is>
          <t>0                      NB 0553000R  7                  E  38</t>
        </is>
      </c>
      <c r="D119" t="inlineStr">
        <is>
          <t>In Rodin's studio : a photographic record of sculpture in the making / Albert E. Elsen.</t>
        </is>
      </c>
      <c r="F119" t="inlineStr">
        <is>
          <t>No</t>
        </is>
      </c>
      <c r="G119" t="inlineStr">
        <is>
          <t>1</t>
        </is>
      </c>
      <c r="H119" t="inlineStr">
        <is>
          <t>No</t>
        </is>
      </c>
      <c r="I119" t="inlineStr">
        <is>
          <t>No</t>
        </is>
      </c>
      <c r="J119" t="inlineStr">
        <is>
          <t>0</t>
        </is>
      </c>
      <c r="K119" t="inlineStr">
        <is>
          <t>Elsen, Albert E., 1927-1995.</t>
        </is>
      </c>
      <c r="L119" t="inlineStr">
        <is>
          <t>Oxford : Phaidon Press ; Ithaca, N.Y. : Cornell University Press, 1980.</t>
        </is>
      </c>
      <c r="M119" t="inlineStr">
        <is>
          <t>1980</t>
        </is>
      </c>
      <c r="O119" t="inlineStr">
        <is>
          <t>eng</t>
        </is>
      </c>
      <c r="P119" t="inlineStr">
        <is>
          <t>enk</t>
        </is>
      </c>
      <c r="R119" t="inlineStr">
        <is>
          <t xml:space="preserve">NB </t>
        </is>
      </c>
      <c r="S119" t="n">
        <v>11</v>
      </c>
      <c r="T119" t="n">
        <v>11</v>
      </c>
      <c r="U119" t="inlineStr">
        <is>
          <t>2009-02-24</t>
        </is>
      </c>
      <c r="V119" t="inlineStr">
        <is>
          <t>2009-02-24</t>
        </is>
      </c>
      <c r="W119" t="inlineStr">
        <is>
          <t>1990-06-19</t>
        </is>
      </c>
      <c r="X119" t="inlineStr">
        <is>
          <t>1990-06-19</t>
        </is>
      </c>
      <c r="Y119" t="n">
        <v>760</v>
      </c>
      <c r="Z119" t="n">
        <v>574</v>
      </c>
      <c r="AA119" t="n">
        <v>581</v>
      </c>
      <c r="AB119" t="n">
        <v>3</v>
      </c>
      <c r="AC119" t="n">
        <v>3</v>
      </c>
      <c r="AD119" t="n">
        <v>24</v>
      </c>
      <c r="AE119" t="n">
        <v>24</v>
      </c>
      <c r="AF119" t="n">
        <v>10</v>
      </c>
      <c r="AG119" t="n">
        <v>10</v>
      </c>
      <c r="AH119" t="n">
        <v>7</v>
      </c>
      <c r="AI119" t="n">
        <v>7</v>
      </c>
      <c r="AJ119" t="n">
        <v>14</v>
      </c>
      <c r="AK119" t="n">
        <v>14</v>
      </c>
      <c r="AL119" t="n">
        <v>1</v>
      </c>
      <c r="AM119" t="n">
        <v>1</v>
      </c>
      <c r="AN119" t="n">
        <v>0</v>
      </c>
      <c r="AO119" t="n">
        <v>0</v>
      </c>
      <c r="AP119" t="inlineStr">
        <is>
          <t>No</t>
        </is>
      </c>
      <c r="AQ119" t="inlineStr">
        <is>
          <t>Yes</t>
        </is>
      </c>
      <c r="AR119">
        <f>HYPERLINK("http://catalog.hathitrust.org/Record/000731871","HathiTrust Record")</f>
        <v/>
      </c>
      <c r="AS119">
        <f>HYPERLINK("https://creighton-primo.hosted.exlibrisgroup.com/primo-explore/search?tab=default_tab&amp;search_scope=EVERYTHING&amp;vid=01CRU&amp;lang=en_US&amp;offset=0&amp;query=any,contains,991004966919702656","Catalog Record")</f>
        <v/>
      </c>
      <c r="AT119">
        <f>HYPERLINK("http://www.worldcat.org/oclc/6340297","WorldCat Record")</f>
        <v/>
      </c>
      <c r="AU119" t="inlineStr">
        <is>
          <t>450611:eng</t>
        </is>
      </c>
      <c r="AV119" t="inlineStr">
        <is>
          <t>6340297</t>
        </is>
      </c>
      <c r="AW119" t="inlineStr">
        <is>
          <t>991004966919702656</t>
        </is>
      </c>
      <c r="AX119" t="inlineStr">
        <is>
          <t>991004966919702656</t>
        </is>
      </c>
      <c r="AY119" t="inlineStr">
        <is>
          <t>2255657340002656</t>
        </is>
      </c>
      <c r="AZ119" t="inlineStr">
        <is>
          <t>BOOK</t>
        </is>
      </c>
      <c r="BB119" t="inlineStr">
        <is>
          <t>9780801413292</t>
        </is>
      </c>
      <c r="BC119" t="inlineStr">
        <is>
          <t>32285000199066</t>
        </is>
      </c>
      <c r="BD119" t="inlineStr">
        <is>
          <t>893905148</t>
        </is>
      </c>
    </row>
    <row r="120">
      <c r="A120" t="inlineStr">
        <is>
          <t>No</t>
        </is>
      </c>
      <c r="B120" t="inlineStr">
        <is>
          <t>NB553.R7 E39</t>
        </is>
      </c>
      <c r="C120" t="inlineStr">
        <is>
          <t>0                      NB 0553000R  7                  E  39</t>
        </is>
      </c>
      <c r="D120" t="inlineStr">
        <is>
          <t>Rodin.</t>
        </is>
      </c>
      <c r="F120" t="inlineStr">
        <is>
          <t>No</t>
        </is>
      </c>
      <c r="G120" t="inlineStr">
        <is>
          <t>1</t>
        </is>
      </c>
      <c r="H120" t="inlineStr">
        <is>
          <t>No</t>
        </is>
      </c>
      <c r="I120" t="inlineStr">
        <is>
          <t>No</t>
        </is>
      </c>
      <c r="J120" t="inlineStr">
        <is>
          <t>0</t>
        </is>
      </c>
      <c r="K120" t="inlineStr">
        <is>
          <t>Elsen, Albert E., 1927-1995.</t>
        </is>
      </c>
      <c r="L120" t="inlineStr">
        <is>
          <t>New York : Museum of Modern Art; distributed by Doubleday, Garden City, N.Y., [1963]</t>
        </is>
      </c>
      <c r="M120" t="inlineStr">
        <is>
          <t>1963</t>
        </is>
      </c>
      <c r="O120" t="inlineStr">
        <is>
          <t>eng</t>
        </is>
      </c>
      <c r="P120" t="inlineStr">
        <is>
          <t>nyu</t>
        </is>
      </c>
      <c r="R120" t="inlineStr">
        <is>
          <t xml:space="preserve">NB </t>
        </is>
      </c>
      <c r="S120" t="n">
        <v>12</v>
      </c>
      <c r="T120" t="n">
        <v>12</v>
      </c>
      <c r="U120" t="inlineStr">
        <is>
          <t>1999-03-22</t>
        </is>
      </c>
      <c r="V120" t="inlineStr">
        <is>
          <t>1999-03-22</t>
        </is>
      </c>
      <c r="W120" t="inlineStr">
        <is>
          <t>1994-01-24</t>
        </is>
      </c>
      <c r="X120" t="inlineStr">
        <is>
          <t>1994-01-24</t>
        </is>
      </c>
      <c r="Y120" t="n">
        <v>1276</v>
      </c>
      <c r="Z120" t="n">
        <v>1111</v>
      </c>
      <c r="AA120" t="n">
        <v>1129</v>
      </c>
      <c r="AB120" t="n">
        <v>3</v>
      </c>
      <c r="AC120" t="n">
        <v>3</v>
      </c>
      <c r="AD120" t="n">
        <v>33</v>
      </c>
      <c r="AE120" t="n">
        <v>33</v>
      </c>
      <c r="AF120" t="n">
        <v>17</v>
      </c>
      <c r="AG120" t="n">
        <v>17</v>
      </c>
      <c r="AH120" t="n">
        <v>6</v>
      </c>
      <c r="AI120" t="n">
        <v>6</v>
      </c>
      <c r="AJ120" t="n">
        <v>16</v>
      </c>
      <c r="AK120" t="n">
        <v>16</v>
      </c>
      <c r="AL120" t="n">
        <v>1</v>
      </c>
      <c r="AM120" t="n">
        <v>1</v>
      </c>
      <c r="AN120" t="n">
        <v>0</v>
      </c>
      <c r="AO120" t="n">
        <v>0</v>
      </c>
      <c r="AP120" t="inlineStr">
        <is>
          <t>Yes</t>
        </is>
      </c>
      <c r="AQ120" t="inlineStr">
        <is>
          <t>No</t>
        </is>
      </c>
      <c r="AR120">
        <f>HYPERLINK("http://catalog.hathitrust.org/Record/001467609","HathiTrust Record")</f>
        <v/>
      </c>
      <c r="AS120">
        <f>HYPERLINK("https://creighton-primo.hosted.exlibrisgroup.com/primo-explore/search?tab=default_tab&amp;search_scope=EVERYTHING&amp;vid=01CRU&amp;lang=en_US&amp;offset=0&amp;query=any,contains,991004971629702656","Catalog Record")</f>
        <v/>
      </c>
      <c r="AT120">
        <f>HYPERLINK("http://www.worldcat.org/oclc/6363813","WorldCat Record")</f>
        <v/>
      </c>
      <c r="AU120" t="inlineStr">
        <is>
          <t>8470556:eng</t>
        </is>
      </c>
      <c r="AV120" t="inlineStr">
        <is>
          <t>6363813</t>
        </is>
      </c>
      <c r="AW120" t="inlineStr">
        <is>
          <t>991004971629702656</t>
        </is>
      </c>
      <c r="AX120" t="inlineStr">
        <is>
          <t>991004971629702656</t>
        </is>
      </c>
      <c r="AY120" t="inlineStr">
        <is>
          <t>2270271220002656</t>
        </is>
      </c>
      <c r="AZ120" t="inlineStr">
        <is>
          <t>BOOK</t>
        </is>
      </c>
      <c r="BC120" t="inlineStr">
        <is>
          <t>32285001835700</t>
        </is>
      </c>
      <c r="BD120" t="inlineStr">
        <is>
          <t>893625299</t>
        </is>
      </c>
    </row>
    <row r="121">
      <c r="A121" t="inlineStr">
        <is>
          <t>No</t>
        </is>
      </c>
      <c r="B121" t="inlineStr">
        <is>
          <t>NB553.R7 G63 1966</t>
        </is>
      </c>
      <c r="C121" t="inlineStr">
        <is>
          <t>0                      NB 0553000R  7                  G  63          1966</t>
        </is>
      </c>
      <c r="D121" t="inlineStr">
        <is>
          <t>Rodin sculptures / selected by Ludwig Goldscheider ; photographs by Ilse Schneider-Lengyel ; introduction by Sommerville Story.</t>
        </is>
      </c>
      <c r="F121" t="inlineStr">
        <is>
          <t>No</t>
        </is>
      </c>
      <c r="G121" t="inlineStr">
        <is>
          <t>1</t>
        </is>
      </c>
      <c r="H121" t="inlineStr">
        <is>
          <t>No</t>
        </is>
      </c>
      <c r="I121" t="inlineStr">
        <is>
          <t>No</t>
        </is>
      </c>
      <c r="J121" t="inlineStr">
        <is>
          <t>0</t>
        </is>
      </c>
      <c r="K121" t="inlineStr">
        <is>
          <t>Rodin, Auguste, 1840-1917.</t>
        </is>
      </c>
      <c r="L121" t="inlineStr">
        <is>
          <t>[London] : Phaidon Publishers ; [distributed by New York Graphic Society Publishers, Greenwich, Conn.], 1966.</t>
        </is>
      </c>
      <c r="M121" t="inlineStr">
        <is>
          <t>1966</t>
        </is>
      </c>
      <c r="O121" t="inlineStr">
        <is>
          <t>eng</t>
        </is>
      </c>
      <c r="P121" t="inlineStr">
        <is>
          <t>enk</t>
        </is>
      </c>
      <c r="R121" t="inlineStr">
        <is>
          <t xml:space="preserve">NB </t>
        </is>
      </c>
      <c r="S121" t="n">
        <v>17</v>
      </c>
      <c r="T121" t="n">
        <v>17</v>
      </c>
      <c r="U121" t="inlineStr">
        <is>
          <t>2008-12-02</t>
        </is>
      </c>
      <c r="V121" t="inlineStr">
        <is>
          <t>2008-12-02</t>
        </is>
      </c>
      <c r="W121" t="inlineStr">
        <is>
          <t>1994-03-01</t>
        </is>
      </c>
      <c r="X121" t="inlineStr">
        <is>
          <t>1994-03-01</t>
        </is>
      </c>
      <c r="Y121" t="n">
        <v>132</v>
      </c>
      <c r="Z121" t="n">
        <v>118</v>
      </c>
      <c r="AA121" t="n">
        <v>120</v>
      </c>
      <c r="AB121" t="n">
        <v>3</v>
      </c>
      <c r="AC121" t="n">
        <v>3</v>
      </c>
      <c r="AD121" t="n">
        <v>6</v>
      </c>
      <c r="AE121" t="n">
        <v>6</v>
      </c>
      <c r="AF121" t="n">
        <v>3</v>
      </c>
      <c r="AG121" t="n">
        <v>3</v>
      </c>
      <c r="AH121" t="n">
        <v>0</v>
      </c>
      <c r="AI121" t="n">
        <v>0</v>
      </c>
      <c r="AJ121" t="n">
        <v>4</v>
      </c>
      <c r="AK121" t="n">
        <v>4</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HYPERLINK("https://creighton-primo.hosted.exlibrisgroup.com/primo-explore/search?tab=default_tab&amp;search_scope=EVERYTHING&amp;vid=01CRU&amp;lang=en_US&amp;offset=0&amp;query=any,contains,991001904429702656","Catalog Record")</f>
        <v/>
      </c>
      <c r="AT121">
        <f>HYPERLINK("http://www.worldcat.org/oclc/239714","WorldCat Record")</f>
        <v/>
      </c>
      <c r="AU121" t="inlineStr">
        <is>
          <t>8907576183:eng</t>
        </is>
      </c>
      <c r="AV121" t="inlineStr">
        <is>
          <t>239714</t>
        </is>
      </c>
      <c r="AW121" t="inlineStr">
        <is>
          <t>991001904429702656</t>
        </is>
      </c>
      <c r="AX121" t="inlineStr">
        <is>
          <t>991001904429702656</t>
        </is>
      </c>
      <c r="AY121" t="inlineStr">
        <is>
          <t>2257012340002656</t>
        </is>
      </c>
      <c r="AZ121" t="inlineStr">
        <is>
          <t>BOOK</t>
        </is>
      </c>
      <c r="BC121" t="inlineStr">
        <is>
          <t>32285001850972</t>
        </is>
      </c>
      <c r="BD121" t="inlineStr">
        <is>
          <t>893522953</t>
        </is>
      </c>
    </row>
    <row r="122">
      <c r="A122" t="inlineStr">
        <is>
          <t>No</t>
        </is>
      </c>
      <c r="B122" t="inlineStr">
        <is>
          <t>NB553.R7 G78 1987</t>
        </is>
      </c>
      <c r="C122" t="inlineStr">
        <is>
          <t>0                      NB 0553000R  7                  G  78          1987</t>
        </is>
      </c>
      <c r="D122" t="inlineStr">
        <is>
          <t>Rodin : a biography / Frederic V. Grunfeld.</t>
        </is>
      </c>
      <c r="F122" t="inlineStr">
        <is>
          <t>No</t>
        </is>
      </c>
      <c r="G122" t="inlineStr">
        <is>
          <t>1</t>
        </is>
      </c>
      <c r="H122" t="inlineStr">
        <is>
          <t>No</t>
        </is>
      </c>
      <c r="I122" t="inlineStr">
        <is>
          <t>No</t>
        </is>
      </c>
      <c r="J122" t="inlineStr">
        <is>
          <t>0</t>
        </is>
      </c>
      <c r="K122" t="inlineStr">
        <is>
          <t>Grunfeld, Frederic V.</t>
        </is>
      </c>
      <c r="L122" t="inlineStr">
        <is>
          <t>New York : Holt, c1987.</t>
        </is>
      </c>
      <c r="M122" t="inlineStr">
        <is>
          <t>1987</t>
        </is>
      </c>
      <c r="N122" t="inlineStr">
        <is>
          <t>1st ed.</t>
        </is>
      </c>
      <c r="O122" t="inlineStr">
        <is>
          <t>eng</t>
        </is>
      </c>
      <c r="P122" t="inlineStr">
        <is>
          <t>nyu</t>
        </is>
      </c>
      <c r="R122" t="inlineStr">
        <is>
          <t xml:space="preserve">NB </t>
        </is>
      </c>
      <c r="S122" t="n">
        <v>2</v>
      </c>
      <c r="T122" t="n">
        <v>2</v>
      </c>
      <c r="U122" t="inlineStr">
        <is>
          <t>2008-12-02</t>
        </is>
      </c>
      <c r="V122" t="inlineStr">
        <is>
          <t>2008-12-02</t>
        </is>
      </c>
      <c r="W122" t="inlineStr">
        <is>
          <t>1990-06-19</t>
        </is>
      </c>
      <c r="X122" t="inlineStr">
        <is>
          <t>1990-06-19</t>
        </is>
      </c>
      <c r="Y122" t="n">
        <v>1007</v>
      </c>
      <c r="Z122" t="n">
        <v>940</v>
      </c>
      <c r="AA122" t="n">
        <v>988</v>
      </c>
      <c r="AB122" t="n">
        <v>7</v>
      </c>
      <c r="AC122" t="n">
        <v>7</v>
      </c>
      <c r="AD122" t="n">
        <v>30</v>
      </c>
      <c r="AE122" t="n">
        <v>30</v>
      </c>
      <c r="AF122" t="n">
        <v>11</v>
      </c>
      <c r="AG122" t="n">
        <v>11</v>
      </c>
      <c r="AH122" t="n">
        <v>6</v>
      </c>
      <c r="AI122" t="n">
        <v>6</v>
      </c>
      <c r="AJ122" t="n">
        <v>17</v>
      </c>
      <c r="AK122" t="n">
        <v>17</v>
      </c>
      <c r="AL122" t="n">
        <v>4</v>
      </c>
      <c r="AM122" t="n">
        <v>4</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HYPERLINK("https://creighton-primo.hosted.exlibrisgroup.com/primo-explore/search?tab=default_tab&amp;search_scope=EVERYTHING&amp;vid=01CRU&amp;lang=en_US&amp;offset=0&amp;query=any,contains,991001011719702656","Catalog Record")</f>
        <v/>
      </c>
      <c r="AT122">
        <f>HYPERLINK("http://www.worldcat.org/oclc/15284523","WorldCat Record")</f>
        <v/>
      </c>
      <c r="AU122" t="inlineStr">
        <is>
          <t>22074234:eng</t>
        </is>
      </c>
      <c r="AV122" t="inlineStr">
        <is>
          <t>15284523</t>
        </is>
      </c>
      <c r="AW122" t="inlineStr">
        <is>
          <t>991001011719702656</t>
        </is>
      </c>
      <c r="AX122" t="inlineStr">
        <is>
          <t>991001011719702656</t>
        </is>
      </c>
      <c r="AY122" t="inlineStr">
        <is>
          <t>2264865700002656</t>
        </is>
      </c>
      <c r="AZ122" t="inlineStr">
        <is>
          <t>BOOK</t>
        </is>
      </c>
      <c r="BB122" t="inlineStr">
        <is>
          <t>9780805002799</t>
        </is>
      </c>
      <c r="BC122" t="inlineStr">
        <is>
          <t>32285000199058</t>
        </is>
      </c>
      <c r="BD122" t="inlineStr">
        <is>
          <t>893522209</t>
        </is>
      </c>
    </row>
    <row r="123">
      <c r="A123" t="inlineStr">
        <is>
          <t>No</t>
        </is>
      </c>
      <c r="B123" t="inlineStr">
        <is>
          <t>NB553.R7 R69</t>
        </is>
      </c>
      <c r="C123" t="inlineStr">
        <is>
          <t>0                      NB 0553000R  7                  R  69</t>
        </is>
      </c>
      <c r="D123" t="inlineStr">
        <is>
          <t>Rodin in perspective / edited by Ruth Butler.</t>
        </is>
      </c>
      <c r="F123" t="inlineStr">
        <is>
          <t>No</t>
        </is>
      </c>
      <c r="G123" t="inlineStr">
        <is>
          <t>1</t>
        </is>
      </c>
      <c r="H123" t="inlineStr">
        <is>
          <t>No</t>
        </is>
      </c>
      <c r="I123" t="inlineStr">
        <is>
          <t>No</t>
        </is>
      </c>
      <c r="J123" t="inlineStr">
        <is>
          <t>0</t>
        </is>
      </c>
      <c r="L123" t="inlineStr">
        <is>
          <t>Englewood Cliffs, N.J. : Prentice-Hall, c1980.</t>
        </is>
      </c>
      <c r="M123" t="inlineStr">
        <is>
          <t>1980</t>
        </is>
      </c>
      <c r="O123" t="inlineStr">
        <is>
          <t>eng</t>
        </is>
      </c>
      <c r="P123" t="inlineStr">
        <is>
          <t>nju</t>
        </is>
      </c>
      <c r="Q123" t="inlineStr">
        <is>
          <t>A Spectrum book</t>
        </is>
      </c>
      <c r="R123" t="inlineStr">
        <is>
          <t xml:space="preserve">NB </t>
        </is>
      </c>
      <c r="S123" t="n">
        <v>16</v>
      </c>
      <c r="T123" t="n">
        <v>16</v>
      </c>
      <c r="U123" t="inlineStr">
        <is>
          <t>2008-12-02</t>
        </is>
      </c>
      <c r="V123" t="inlineStr">
        <is>
          <t>2008-12-02</t>
        </is>
      </c>
      <c r="W123" t="inlineStr">
        <is>
          <t>1993-05-18</t>
        </is>
      </c>
      <c r="X123" t="inlineStr">
        <is>
          <t>1993-05-18</t>
        </is>
      </c>
      <c r="Y123" t="n">
        <v>751</v>
      </c>
      <c r="Z123" t="n">
        <v>623</v>
      </c>
      <c r="AA123" t="n">
        <v>625</v>
      </c>
      <c r="AB123" t="n">
        <v>3</v>
      </c>
      <c r="AC123" t="n">
        <v>3</v>
      </c>
      <c r="AD123" t="n">
        <v>20</v>
      </c>
      <c r="AE123" t="n">
        <v>20</v>
      </c>
      <c r="AF123" t="n">
        <v>11</v>
      </c>
      <c r="AG123" t="n">
        <v>11</v>
      </c>
      <c r="AH123" t="n">
        <v>3</v>
      </c>
      <c r="AI123" t="n">
        <v>3</v>
      </c>
      <c r="AJ123" t="n">
        <v>9</v>
      </c>
      <c r="AK123" t="n">
        <v>9</v>
      </c>
      <c r="AL123" t="n">
        <v>2</v>
      </c>
      <c r="AM123" t="n">
        <v>2</v>
      </c>
      <c r="AN123" t="n">
        <v>0</v>
      </c>
      <c r="AO123" t="n">
        <v>0</v>
      </c>
      <c r="AP123" t="inlineStr">
        <is>
          <t>No</t>
        </is>
      </c>
      <c r="AQ123" t="inlineStr">
        <is>
          <t>Yes</t>
        </is>
      </c>
      <c r="AR123">
        <f>HYPERLINK("http://catalog.hathitrust.org/Record/000138133","HathiTrust Record")</f>
        <v/>
      </c>
      <c r="AS123">
        <f>HYPERLINK("https://creighton-primo.hosted.exlibrisgroup.com/primo-explore/search?tab=default_tab&amp;search_scope=EVERYTHING&amp;vid=01CRU&amp;lang=en_US&amp;offset=0&amp;query=any,contains,991004943999702656","Catalog Record")</f>
        <v/>
      </c>
      <c r="AT123">
        <f>HYPERLINK("http://www.worldcat.org/oclc/6196778","WorldCat Record")</f>
        <v/>
      </c>
      <c r="AU123" t="inlineStr">
        <is>
          <t>473946389:eng</t>
        </is>
      </c>
      <c r="AV123" t="inlineStr">
        <is>
          <t>6196778</t>
        </is>
      </c>
      <c r="AW123" t="inlineStr">
        <is>
          <t>991004943999702656</t>
        </is>
      </c>
      <c r="AX123" t="inlineStr">
        <is>
          <t>991004943999702656</t>
        </is>
      </c>
      <c r="AY123" t="inlineStr">
        <is>
          <t>2266259430002656</t>
        </is>
      </c>
      <c r="AZ123" t="inlineStr">
        <is>
          <t>BOOK</t>
        </is>
      </c>
      <c r="BB123" t="inlineStr">
        <is>
          <t>9780137823185</t>
        </is>
      </c>
      <c r="BC123" t="inlineStr">
        <is>
          <t>32285001659324</t>
        </is>
      </c>
      <c r="BD123" t="inlineStr">
        <is>
          <t>893532955</t>
        </is>
      </c>
    </row>
    <row r="124">
      <c r="A124" t="inlineStr">
        <is>
          <t>No</t>
        </is>
      </c>
      <c r="B124" t="inlineStr">
        <is>
          <t>NB553.R75 B56 1995</t>
        </is>
      </c>
      <c r="C124" t="inlineStr">
        <is>
          <t>0                      NB 0553000R  75                 B  56          1995</t>
        </is>
      </c>
      <c r="D124" t="inlineStr">
        <is>
          <t>Roubiliac and the eighteenth-century monument : sculpture as theatre / David Bindman and Malcolm Baker.</t>
        </is>
      </c>
      <c r="F124" t="inlineStr">
        <is>
          <t>No</t>
        </is>
      </c>
      <c r="G124" t="inlineStr">
        <is>
          <t>1</t>
        </is>
      </c>
      <c r="H124" t="inlineStr">
        <is>
          <t>No</t>
        </is>
      </c>
      <c r="I124" t="inlineStr">
        <is>
          <t>No</t>
        </is>
      </c>
      <c r="J124" t="inlineStr">
        <is>
          <t>0</t>
        </is>
      </c>
      <c r="K124" t="inlineStr">
        <is>
          <t>Bindman, David, 1945-</t>
        </is>
      </c>
      <c r="L124" t="inlineStr">
        <is>
          <t>New Haven : Published for the Paul Mellon Centre for Studies in British Art by Yale University Press, 1995.</t>
        </is>
      </c>
      <c r="M124" t="inlineStr">
        <is>
          <t>1995</t>
        </is>
      </c>
      <c r="O124" t="inlineStr">
        <is>
          <t>eng</t>
        </is>
      </c>
      <c r="P124" t="inlineStr">
        <is>
          <t>ctu</t>
        </is>
      </c>
      <c r="R124" t="inlineStr">
        <is>
          <t xml:space="preserve">NB </t>
        </is>
      </c>
      <c r="S124" t="n">
        <v>1</v>
      </c>
      <c r="T124" t="n">
        <v>1</v>
      </c>
      <c r="U124" t="inlineStr">
        <is>
          <t>2001-11-20</t>
        </is>
      </c>
      <c r="V124" t="inlineStr">
        <is>
          <t>2001-11-20</t>
        </is>
      </c>
      <c r="W124" t="inlineStr">
        <is>
          <t>1997-11-14</t>
        </is>
      </c>
      <c r="X124" t="inlineStr">
        <is>
          <t>1997-11-14</t>
        </is>
      </c>
      <c r="Y124" t="n">
        <v>421</v>
      </c>
      <c r="Z124" t="n">
        <v>324</v>
      </c>
      <c r="AA124" t="n">
        <v>324</v>
      </c>
      <c r="AB124" t="n">
        <v>3</v>
      </c>
      <c r="AC124" t="n">
        <v>3</v>
      </c>
      <c r="AD124" t="n">
        <v>19</v>
      </c>
      <c r="AE124" t="n">
        <v>19</v>
      </c>
      <c r="AF124" t="n">
        <v>9</v>
      </c>
      <c r="AG124" t="n">
        <v>9</v>
      </c>
      <c r="AH124" t="n">
        <v>3</v>
      </c>
      <c r="AI124" t="n">
        <v>3</v>
      </c>
      <c r="AJ124" t="n">
        <v>11</v>
      </c>
      <c r="AK124" t="n">
        <v>11</v>
      </c>
      <c r="AL124" t="n">
        <v>2</v>
      </c>
      <c r="AM124" t="n">
        <v>2</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HYPERLINK("https://creighton-primo.hosted.exlibrisgroup.com/primo-explore/search?tab=default_tab&amp;search_scope=EVERYTHING&amp;vid=01CRU&amp;lang=en_US&amp;offset=0&amp;query=any,contains,991002568949702656","Catalog Record")</f>
        <v/>
      </c>
      <c r="AT124">
        <f>HYPERLINK("http://www.worldcat.org/oclc/33393762","WorldCat Record")</f>
        <v/>
      </c>
      <c r="AU124" t="inlineStr">
        <is>
          <t>837013598:eng</t>
        </is>
      </c>
      <c r="AV124" t="inlineStr">
        <is>
          <t>33393762</t>
        </is>
      </c>
      <c r="AW124" t="inlineStr">
        <is>
          <t>991002568949702656</t>
        </is>
      </c>
      <c r="AX124" t="inlineStr">
        <is>
          <t>991002568949702656</t>
        </is>
      </c>
      <c r="AY124" t="inlineStr">
        <is>
          <t>2255412700002656</t>
        </is>
      </c>
      <c r="AZ124" t="inlineStr">
        <is>
          <t>BOOK</t>
        </is>
      </c>
      <c r="BB124" t="inlineStr">
        <is>
          <t>9780300063332</t>
        </is>
      </c>
      <c r="BC124" t="inlineStr">
        <is>
          <t>32285003270146</t>
        </is>
      </c>
      <c r="BD124" t="inlineStr">
        <is>
          <t>893427736</t>
        </is>
      </c>
    </row>
    <row r="125">
      <c r="A125" t="inlineStr">
        <is>
          <t>No</t>
        </is>
      </c>
      <c r="B125" t="inlineStr">
        <is>
          <t>NB588.K43 A65 1989</t>
        </is>
      </c>
      <c r="C125" t="inlineStr">
        <is>
          <t>0                      NB 0588000K  43                 A  65          1989</t>
        </is>
      </c>
      <c r="D125" t="inlineStr">
        <is>
          <t>The high priestess / Anselm Kiefer ; with an essay by Armin Zweite.</t>
        </is>
      </c>
      <c r="F125" t="inlineStr">
        <is>
          <t>No</t>
        </is>
      </c>
      <c r="G125" t="inlineStr">
        <is>
          <t>1</t>
        </is>
      </c>
      <c r="H125" t="inlineStr">
        <is>
          <t>No</t>
        </is>
      </c>
      <c r="I125" t="inlineStr">
        <is>
          <t>No</t>
        </is>
      </c>
      <c r="J125" t="inlineStr">
        <is>
          <t>0</t>
        </is>
      </c>
      <c r="K125" t="inlineStr">
        <is>
          <t>Kiefer, Anselm, 1945-</t>
        </is>
      </c>
      <c r="L125" t="inlineStr">
        <is>
          <t>New York : Abrams, in association with Anthony d'Offay Gallery, London, 1989.</t>
        </is>
      </c>
      <c r="M125" t="inlineStr">
        <is>
          <t>1989</t>
        </is>
      </c>
      <c r="O125" t="inlineStr">
        <is>
          <t>eng</t>
        </is>
      </c>
      <c r="P125" t="inlineStr">
        <is>
          <t>nyu</t>
        </is>
      </c>
      <c r="R125" t="inlineStr">
        <is>
          <t xml:space="preserve">NB </t>
        </is>
      </c>
      <c r="S125" t="n">
        <v>3</v>
      </c>
      <c r="T125" t="n">
        <v>3</v>
      </c>
      <c r="U125" t="inlineStr">
        <is>
          <t>2004-10-28</t>
        </is>
      </c>
      <c r="V125" t="inlineStr">
        <is>
          <t>2004-10-28</t>
        </is>
      </c>
      <c r="W125" t="inlineStr">
        <is>
          <t>1992-04-09</t>
        </is>
      </c>
      <c r="X125" t="inlineStr">
        <is>
          <t>1992-04-09</t>
        </is>
      </c>
      <c r="Y125" t="n">
        <v>191</v>
      </c>
      <c r="Z125" t="n">
        <v>159</v>
      </c>
      <c r="AA125" t="n">
        <v>197</v>
      </c>
      <c r="AB125" t="n">
        <v>2</v>
      </c>
      <c r="AC125" t="n">
        <v>2</v>
      </c>
      <c r="AD125" t="n">
        <v>4</v>
      </c>
      <c r="AE125" t="n">
        <v>4</v>
      </c>
      <c r="AF125" t="n">
        <v>1</v>
      </c>
      <c r="AG125" t="n">
        <v>1</v>
      </c>
      <c r="AH125" t="n">
        <v>0</v>
      </c>
      <c r="AI125" t="n">
        <v>0</v>
      </c>
      <c r="AJ125" t="n">
        <v>2</v>
      </c>
      <c r="AK125" t="n">
        <v>2</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HYPERLINK("https://creighton-primo.hosted.exlibrisgroup.com/primo-explore/search?tab=default_tab&amp;search_scope=EVERYTHING&amp;vid=01CRU&amp;lang=en_US&amp;offset=0&amp;query=any,contains,991001438679702656","Catalog Record")</f>
        <v/>
      </c>
      <c r="AT125">
        <f>HYPERLINK("http://www.worldcat.org/oclc/19221050","WorldCat Record")</f>
        <v/>
      </c>
      <c r="AU125" t="inlineStr">
        <is>
          <t>20831429:eng</t>
        </is>
      </c>
      <c r="AV125" t="inlineStr">
        <is>
          <t>19221050</t>
        </is>
      </c>
      <c r="AW125" t="inlineStr">
        <is>
          <t>991001438679702656</t>
        </is>
      </c>
      <c r="AX125" t="inlineStr">
        <is>
          <t>991001438679702656</t>
        </is>
      </c>
      <c r="AY125" t="inlineStr">
        <is>
          <t>2257576010002656</t>
        </is>
      </c>
      <c r="AZ125" t="inlineStr">
        <is>
          <t>BOOK</t>
        </is>
      </c>
      <c r="BB125" t="inlineStr">
        <is>
          <t>9780810912168</t>
        </is>
      </c>
      <c r="BC125" t="inlineStr">
        <is>
          <t>32285001009355</t>
        </is>
      </c>
      <c r="BD125" t="inlineStr">
        <is>
          <t>893528941</t>
        </is>
      </c>
    </row>
    <row r="126">
      <c r="A126" t="inlineStr">
        <is>
          <t>No</t>
        </is>
      </c>
      <c r="B126" t="inlineStr">
        <is>
          <t>NB588.R5 A4 1999</t>
        </is>
      </c>
      <c r="C126" t="inlineStr">
        <is>
          <t>0                      NB 0588000R  5                  A  4           1999</t>
        </is>
      </c>
      <c r="D126" t="inlineStr">
        <is>
          <t>Tilman Riemenschneider : master sculptor of the late Middle Ages / Julien Chapuis ; with contributions by Michael Baxandall ... [et al.].</t>
        </is>
      </c>
      <c r="F126" t="inlineStr">
        <is>
          <t>No</t>
        </is>
      </c>
      <c r="G126" t="inlineStr">
        <is>
          <t>1</t>
        </is>
      </c>
      <c r="H126" t="inlineStr">
        <is>
          <t>No</t>
        </is>
      </c>
      <c r="I126" t="inlineStr">
        <is>
          <t>No</t>
        </is>
      </c>
      <c r="J126" t="inlineStr">
        <is>
          <t>0</t>
        </is>
      </c>
      <c r="K126" t="inlineStr">
        <is>
          <t>Riemenschneider, Tilman, -1531.</t>
        </is>
      </c>
      <c r="L126" t="inlineStr">
        <is>
          <t>Washington : National Gallery of Art, Washington ; New Haven : Distributed by Yale University Press, c1999.</t>
        </is>
      </c>
      <c r="M126" t="inlineStr">
        <is>
          <t>1999</t>
        </is>
      </c>
      <c r="O126" t="inlineStr">
        <is>
          <t>eng</t>
        </is>
      </c>
      <c r="P126" t="inlineStr">
        <is>
          <t>dcu</t>
        </is>
      </c>
      <c r="R126" t="inlineStr">
        <is>
          <t xml:space="preserve">NB </t>
        </is>
      </c>
      <c r="S126" t="n">
        <v>1</v>
      </c>
      <c r="T126" t="n">
        <v>1</v>
      </c>
      <c r="U126" t="inlineStr">
        <is>
          <t>2009-04-14</t>
        </is>
      </c>
      <c r="V126" t="inlineStr">
        <is>
          <t>2009-04-14</t>
        </is>
      </c>
      <c r="W126" t="inlineStr">
        <is>
          <t>2009-04-14</t>
        </is>
      </c>
      <c r="X126" t="inlineStr">
        <is>
          <t>2009-04-14</t>
        </is>
      </c>
      <c r="Y126" t="n">
        <v>644</v>
      </c>
      <c r="Z126" t="n">
        <v>539</v>
      </c>
      <c r="AA126" t="n">
        <v>544</v>
      </c>
      <c r="AB126" t="n">
        <v>3</v>
      </c>
      <c r="AC126" t="n">
        <v>3</v>
      </c>
      <c r="AD126" t="n">
        <v>22</v>
      </c>
      <c r="AE126" t="n">
        <v>23</v>
      </c>
      <c r="AF126" t="n">
        <v>10</v>
      </c>
      <c r="AG126" t="n">
        <v>10</v>
      </c>
      <c r="AH126" t="n">
        <v>4</v>
      </c>
      <c r="AI126" t="n">
        <v>5</v>
      </c>
      <c r="AJ126" t="n">
        <v>12</v>
      </c>
      <c r="AK126" t="n">
        <v>12</v>
      </c>
      <c r="AL126" t="n">
        <v>2</v>
      </c>
      <c r="AM126" t="n">
        <v>2</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HYPERLINK("https://creighton-primo.hosted.exlibrisgroup.com/primo-explore/search?tab=default_tab&amp;search_scope=EVERYTHING&amp;vid=01CRU&amp;lang=en_US&amp;offset=0&amp;query=any,contains,991005306299702656","Catalog Record")</f>
        <v/>
      </c>
      <c r="AT126">
        <f>HYPERLINK("http://www.worldcat.org/oclc/41131719","WorldCat Record")</f>
        <v/>
      </c>
      <c r="AU126" t="inlineStr">
        <is>
          <t>370113098:eng</t>
        </is>
      </c>
      <c r="AV126" t="inlineStr">
        <is>
          <t>41131719</t>
        </is>
      </c>
      <c r="AW126" t="inlineStr">
        <is>
          <t>991005306299702656</t>
        </is>
      </c>
      <c r="AX126" t="inlineStr">
        <is>
          <t>991005306299702656</t>
        </is>
      </c>
      <c r="AY126" t="inlineStr">
        <is>
          <t>2270063330002656</t>
        </is>
      </c>
      <c r="AZ126" t="inlineStr">
        <is>
          <t>BOOK</t>
        </is>
      </c>
      <c r="BB126" t="inlineStr">
        <is>
          <t>9780300081626</t>
        </is>
      </c>
      <c r="BC126" t="inlineStr">
        <is>
          <t>32285005515365</t>
        </is>
      </c>
      <c r="BD126" t="inlineStr">
        <is>
          <t>893514419</t>
        </is>
      </c>
    </row>
    <row r="127">
      <c r="A127" t="inlineStr">
        <is>
          <t>No</t>
        </is>
      </c>
      <c r="B127" t="inlineStr">
        <is>
          <t>NB60 .B3813</t>
        </is>
      </c>
      <c r="C127" t="inlineStr">
        <is>
          <t>0                      NB 0060000B  3813</t>
        </is>
      </c>
      <c r="D127" t="inlineStr">
        <is>
          <t>The history of world sculpture. [Translated from the French by Madeline Jay]</t>
        </is>
      </c>
      <c r="F127" t="inlineStr">
        <is>
          <t>No</t>
        </is>
      </c>
      <c r="G127" t="inlineStr">
        <is>
          <t>1</t>
        </is>
      </c>
      <c r="H127" t="inlineStr">
        <is>
          <t>No</t>
        </is>
      </c>
      <c r="I127" t="inlineStr">
        <is>
          <t>No</t>
        </is>
      </c>
      <c r="J127" t="inlineStr">
        <is>
          <t>0</t>
        </is>
      </c>
      <c r="K127" t="inlineStr">
        <is>
          <t>Bazin, Germain.</t>
        </is>
      </c>
      <c r="L127" t="inlineStr">
        <is>
          <t>Greenwich, Conn., New York Graphic Society [1968]</t>
        </is>
      </c>
      <c r="M127" t="inlineStr">
        <is>
          <t>1968</t>
        </is>
      </c>
      <c r="O127" t="inlineStr">
        <is>
          <t>eng</t>
        </is>
      </c>
      <c r="P127" t="inlineStr">
        <is>
          <t>ctu</t>
        </is>
      </c>
      <c r="R127" t="inlineStr">
        <is>
          <t xml:space="preserve">NB </t>
        </is>
      </c>
      <c r="S127" t="n">
        <v>5</v>
      </c>
      <c r="T127" t="n">
        <v>5</v>
      </c>
      <c r="U127" t="inlineStr">
        <is>
          <t>1998-12-05</t>
        </is>
      </c>
      <c r="V127" t="inlineStr">
        <is>
          <t>1998-12-05</t>
        </is>
      </c>
      <c r="W127" t="inlineStr">
        <is>
          <t>1997-07-02</t>
        </is>
      </c>
      <c r="X127" t="inlineStr">
        <is>
          <t>1997-07-02</t>
        </is>
      </c>
      <c r="Y127" t="n">
        <v>1379</v>
      </c>
      <c r="Z127" t="n">
        <v>1297</v>
      </c>
      <c r="AA127" t="n">
        <v>1554</v>
      </c>
      <c r="AB127" t="n">
        <v>9</v>
      </c>
      <c r="AC127" t="n">
        <v>12</v>
      </c>
      <c r="AD127" t="n">
        <v>36</v>
      </c>
      <c r="AE127" t="n">
        <v>40</v>
      </c>
      <c r="AF127" t="n">
        <v>16</v>
      </c>
      <c r="AG127" t="n">
        <v>18</v>
      </c>
      <c r="AH127" t="n">
        <v>9</v>
      </c>
      <c r="AI127" t="n">
        <v>9</v>
      </c>
      <c r="AJ127" t="n">
        <v>14</v>
      </c>
      <c r="AK127" t="n">
        <v>16</v>
      </c>
      <c r="AL127" t="n">
        <v>6</v>
      </c>
      <c r="AM127" t="n">
        <v>7</v>
      </c>
      <c r="AN127" t="n">
        <v>0</v>
      </c>
      <c r="AO127" t="n">
        <v>0</v>
      </c>
      <c r="AP127" t="inlineStr">
        <is>
          <t>No</t>
        </is>
      </c>
      <c r="AQ127" t="inlineStr">
        <is>
          <t>Yes</t>
        </is>
      </c>
      <c r="AR127">
        <f>HYPERLINK("http://catalog.hathitrust.org/Record/000471447","HathiTrust Record")</f>
        <v/>
      </c>
      <c r="AS127">
        <f>HYPERLINK("https://creighton-primo.hosted.exlibrisgroup.com/primo-explore/search?tab=default_tab&amp;search_scope=EVERYTHING&amp;vid=01CRU&amp;lang=en_US&amp;offset=0&amp;query=any,contains,991001708389702656","Catalog Record")</f>
        <v/>
      </c>
      <c r="AT127">
        <f>HYPERLINK("http://www.worldcat.org/oclc/234597","WorldCat Record")</f>
        <v/>
      </c>
      <c r="AU127" t="inlineStr">
        <is>
          <t>1364327:eng</t>
        </is>
      </c>
      <c r="AV127" t="inlineStr">
        <is>
          <t>234597</t>
        </is>
      </c>
      <c r="AW127" t="inlineStr">
        <is>
          <t>991001708389702656</t>
        </is>
      </c>
      <c r="AX127" t="inlineStr">
        <is>
          <t>991001708389702656</t>
        </is>
      </c>
      <c r="AY127" t="inlineStr">
        <is>
          <t>2257532970002656</t>
        </is>
      </c>
      <c r="AZ127" t="inlineStr">
        <is>
          <t>BOOK</t>
        </is>
      </c>
      <c r="BC127" t="inlineStr">
        <is>
          <t>32285002863354</t>
        </is>
      </c>
      <c r="BD127" t="inlineStr">
        <is>
          <t>893772820</t>
        </is>
      </c>
    </row>
    <row r="128">
      <c r="A128" t="inlineStr">
        <is>
          <t>No</t>
        </is>
      </c>
      <c r="B128" t="inlineStr">
        <is>
          <t>NB60 .C5</t>
        </is>
      </c>
      <c r="C128" t="inlineStr">
        <is>
          <t>0                      NB 0060000C  5</t>
        </is>
      </c>
      <c r="D128" t="inlineStr">
        <is>
          <t>A history of sculpture, by George Henry Chase ... and Chandler Rathfon Post ...</t>
        </is>
      </c>
      <c r="F128" t="inlineStr">
        <is>
          <t>No</t>
        </is>
      </c>
      <c r="G128" t="inlineStr">
        <is>
          <t>1</t>
        </is>
      </c>
      <c r="H128" t="inlineStr">
        <is>
          <t>No</t>
        </is>
      </c>
      <c r="I128" t="inlineStr">
        <is>
          <t>No</t>
        </is>
      </c>
      <c r="J128" t="inlineStr">
        <is>
          <t>0</t>
        </is>
      </c>
      <c r="K128" t="inlineStr">
        <is>
          <t>Chase, George Henry, 1874-1952.</t>
        </is>
      </c>
      <c r="L128" t="inlineStr">
        <is>
          <t>New York, London, Harper &amp; Brothers [c1925]</t>
        </is>
      </c>
      <c r="M128" t="inlineStr">
        <is>
          <t>1925</t>
        </is>
      </c>
      <c r="O128" t="inlineStr">
        <is>
          <t>eng</t>
        </is>
      </c>
      <c r="P128" t="inlineStr">
        <is>
          <t>nyu</t>
        </is>
      </c>
      <c r="Q128" t="inlineStr">
        <is>
          <t>Harper's fine arts series</t>
        </is>
      </c>
      <c r="R128" t="inlineStr">
        <is>
          <t xml:space="preserve">NB </t>
        </is>
      </c>
      <c r="S128" t="n">
        <v>2</v>
      </c>
      <c r="T128" t="n">
        <v>2</v>
      </c>
      <c r="U128" t="inlineStr">
        <is>
          <t>1997-09-16</t>
        </is>
      </c>
      <c r="V128" t="inlineStr">
        <is>
          <t>1997-09-16</t>
        </is>
      </c>
      <c r="W128" t="inlineStr">
        <is>
          <t>1997-07-02</t>
        </is>
      </c>
      <c r="X128" t="inlineStr">
        <is>
          <t>1997-07-02</t>
        </is>
      </c>
      <c r="Y128" t="n">
        <v>701</v>
      </c>
      <c r="Z128" t="n">
        <v>641</v>
      </c>
      <c r="AA128" t="n">
        <v>795</v>
      </c>
      <c r="AB128" t="n">
        <v>9</v>
      </c>
      <c r="AC128" t="n">
        <v>9</v>
      </c>
      <c r="AD128" t="n">
        <v>23</v>
      </c>
      <c r="AE128" t="n">
        <v>30</v>
      </c>
      <c r="AF128" t="n">
        <v>9</v>
      </c>
      <c r="AG128" t="n">
        <v>9</v>
      </c>
      <c r="AH128" t="n">
        <v>2</v>
      </c>
      <c r="AI128" t="n">
        <v>5</v>
      </c>
      <c r="AJ128" t="n">
        <v>8</v>
      </c>
      <c r="AK128" t="n">
        <v>14</v>
      </c>
      <c r="AL128" t="n">
        <v>6</v>
      </c>
      <c r="AM128" t="n">
        <v>6</v>
      </c>
      <c r="AN128" t="n">
        <v>0</v>
      </c>
      <c r="AO128" t="n">
        <v>0</v>
      </c>
      <c r="AP128" t="inlineStr">
        <is>
          <t>Yes</t>
        </is>
      </c>
      <c r="AQ128" t="inlineStr">
        <is>
          <t>No</t>
        </is>
      </c>
      <c r="AR128">
        <f>HYPERLINK("http://catalog.hathitrust.org/Record/000431178","HathiTrust Record")</f>
        <v/>
      </c>
      <c r="AS128">
        <f>HYPERLINK("https://creighton-primo.hosted.exlibrisgroup.com/primo-explore/search?tab=default_tab&amp;search_scope=EVERYTHING&amp;vid=01CRU&amp;lang=en_US&amp;offset=0&amp;query=any,contains,991003549669702656","Catalog Record")</f>
        <v/>
      </c>
      <c r="AT128">
        <f>HYPERLINK("http://www.worldcat.org/oclc/1117871","WorldCat Record")</f>
        <v/>
      </c>
      <c r="AU128" t="inlineStr">
        <is>
          <t>500281:eng</t>
        </is>
      </c>
      <c r="AV128" t="inlineStr">
        <is>
          <t>1117871</t>
        </is>
      </c>
      <c r="AW128" t="inlineStr">
        <is>
          <t>991003549669702656</t>
        </is>
      </c>
      <c r="AX128" t="inlineStr">
        <is>
          <t>991003549669702656</t>
        </is>
      </c>
      <c r="AY128" t="inlineStr">
        <is>
          <t>2269018570002656</t>
        </is>
      </c>
      <c r="AZ128" t="inlineStr">
        <is>
          <t>BOOK</t>
        </is>
      </c>
      <c r="BC128" t="inlineStr">
        <is>
          <t>32285002863362</t>
        </is>
      </c>
      <c r="BD128" t="inlineStr">
        <is>
          <t>893887582</t>
        </is>
      </c>
    </row>
    <row r="129">
      <c r="A129" t="inlineStr">
        <is>
          <t>No</t>
        </is>
      </c>
      <c r="B129" t="inlineStr">
        <is>
          <t>NB614 .P6</t>
        </is>
      </c>
      <c r="C129" t="inlineStr">
        <is>
          <t>0                      NB 0614000P  6</t>
        </is>
      </c>
      <c r="D129" t="inlineStr">
        <is>
          <t>An introduction to Italian sculpture [by] John Pope-Hennessy.</t>
        </is>
      </c>
      <c r="F129" t="inlineStr">
        <is>
          <t>Yes</t>
        </is>
      </c>
      <c r="G129" t="inlineStr">
        <is>
          <t>1</t>
        </is>
      </c>
      <c r="H129" t="inlineStr">
        <is>
          <t>No</t>
        </is>
      </c>
      <c r="I129" t="inlineStr">
        <is>
          <t>No</t>
        </is>
      </c>
      <c r="J129" t="inlineStr">
        <is>
          <t>0</t>
        </is>
      </c>
      <c r="K129" t="inlineStr">
        <is>
          <t>Pope-Hennessy, John Wyndham, Sir, 1913-1994.</t>
        </is>
      </c>
      <c r="L129" t="inlineStr">
        <is>
          <t>London, New York, Phaidon, 1970-72.</t>
        </is>
      </c>
      <c r="M129" t="inlineStr">
        <is>
          <t>1970</t>
        </is>
      </c>
      <c r="N129" t="inlineStr">
        <is>
          <t>2nd ed.</t>
        </is>
      </c>
      <c r="O129" t="inlineStr">
        <is>
          <t>eng</t>
        </is>
      </c>
      <c r="P129" t="inlineStr">
        <is>
          <t>enk</t>
        </is>
      </c>
      <c r="R129" t="inlineStr">
        <is>
          <t xml:space="preserve">NB </t>
        </is>
      </c>
      <c r="S129" t="n">
        <v>11</v>
      </c>
      <c r="T129" t="n">
        <v>11</v>
      </c>
      <c r="U129" t="inlineStr">
        <is>
          <t>2002-04-29</t>
        </is>
      </c>
      <c r="V129" t="inlineStr">
        <is>
          <t>2002-04-29</t>
        </is>
      </c>
      <c r="W129" t="inlineStr">
        <is>
          <t>1997-07-03</t>
        </is>
      </c>
      <c r="X129" t="inlineStr">
        <is>
          <t>1997-07-03</t>
        </is>
      </c>
      <c r="Y129" t="n">
        <v>466</v>
      </c>
      <c r="Z129" t="n">
        <v>403</v>
      </c>
      <c r="AA129" t="n">
        <v>966</v>
      </c>
      <c r="AB129" t="n">
        <v>4</v>
      </c>
      <c r="AC129" t="n">
        <v>5</v>
      </c>
      <c r="AD129" t="n">
        <v>21</v>
      </c>
      <c r="AE129" t="n">
        <v>40</v>
      </c>
      <c r="AF129" t="n">
        <v>4</v>
      </c>
      <c r="AG129" t="n">
        <v>16</v>
      </c>
      <c r="AH129" t="n">
        <v>7</v>
      </c>
      <c r="AI129" t="n">
        <v>9</v>
      </c>
      <c r="AJ129" t="n">
        <v>11</v>
      </c>
      <c r="AK129" t="n">
        <v>21</v>
      </c>
      <c r="AL129" t="n">
        <v>3</v>
      </c>
      <c r="AM129" t="n">
        <v>4</v>
      </c>
      <c r="AN129" t="n">
        <v>0</v>
      </c>
      <c r="AO129" t="n">
        <v>0</v>
      </c>
      <c r="AP129" t="inlineStr">
        <is>
          <t>No</t>
        </is>
      </c>
      <c r="AQ129" t="inlineStr">
        <is>
          <t>Yes</t>
        </is>
      </c>
      <c r="AR129">
        <f>HYPERLINK("http://catalog.hathitrust.org/Record/001467714","HathiTrust Record")</f>
        <v/>
      </c>
      <c r="AS129">
        <f>HYPERLINK("https://creighton-primo.hosted.exlibrisgroup.com/primo-explore/search?tab=default_tab&amp;search_scope=EVERYTHING&amp;vid=01CRU&amp;lang=en_US&amp;offset=0&amp;query=any,contains,991000921489702656","Catalog Record")</f>
        <v/>
      </c>
      <c r="AT129">
        <f>HYPERLINK("http://www.worldcat.org/oclc/161924","WorldCat Record")</f>
        <v/>
      </c>
      <c r="AU129" t="inlineStr">
        <is>
          <t>3857035245:eng</t>
        </is>
      </c>
      <c r="AV129" t="inlineStr">
        <is>
          <t>161924</t>
        </is>
      </c>
      <c r="AW129" t="inlineStr">
        <is>
          <t>991000921489702656</t>
        </is>
      </c>
      <c r="AX129" t="inlineStr">
        <is>
          <t>991000921489702656</t>
        </is>
      </c>
      <c r="AY129" t="inlineStr">
        <is>
          <t>2269479740002656</t>
        </is>
      </c>
      <c r="AZ129" t="inlineStr">
        <is>
          <t>BOOK</t>
        </is>
      </c>
      <c r="BB129" t="inlineStr">
        <is>
          <t>9780714814650</t>
        </is>
      </c>
      <c r="BC129" t="inlineStr">
        <is>
          <t>32285002863842</t>
        </is>
      </c>
      <c r="BD129" t="inlineStr">
        <is>
          <t>893432428</t>
        </is>
      </c>
    </row>
    <row r="130">
      <c r="A130" t="inlineStr">
        <is>
          <t>No</t>
        </is>
      </c>
      <c r="B130" t="inlineStr">
        <is>
          <t>NB615 .B64 1998</t>
        </is>
      </c>
      <c r="C130" t="inlineStr">
        <is>
          <t>0                      NB 0615000B  64          1998</t>
        </is>
      </c>
      <c r="D130" t="inlineStr">
        <is>
          <t>Italian baroque sculpture / Bruce Boucher.</t>
        </is>
      </c>
      <c r="F130" t="inlineStr">
        <is>
          <t>No</t>
        </is>
      </c>
      <c r="G130" t="inlineStr">
        <is>
          <t>1</t>
        </is>
      </c>
      <c r="H130" t="inlineStr">
        <is>
          <t>No</t>
        </is>
      </c>
      <c r="I130" t="inlineStr">
        <is>
          <t>No</t>
        </is>
      </c>
      <c r="J130" t="inlineStr">
        <is>
          <t>0</t>
        </is>
      </c>
      <c r="K130" t="inlineStr">
        <is>
          <t>Boucher, Bruce.</t>
        </is>
      </c>
      <c r="L130" t="inlineStr">
        <is>
          <t>New York : Thames and Hudson, 1998.</t>
        </is>
      </c>
      <c r="M130" t="inlineStr">
        <is>
          <t>1998</t>
        </is>
      </c>
      <c r="O130" t="inlineStr">
        <is>
          <t>eng</t>
        </is>
      </c>
      <c r="P130" t="inlineStr">
        <is>
          <t>nyu</t>
        </is>
      </c>
      <c r="Q130" t="inlineStr">
        <is>
          <t>World of art</t>
        </is>
      </c>
      <c r="R130" t="inlineStr">
        <is>
          <t xml:space="preserve">NB </t>
        </is>
      </c>
      <c r="S130" t="n">
        <v>10</v>
      </c>
      <c r="T130" t="n">
        <v>10</v>
      </c>
      <c r="U130" t="inlineStr">
        <is>
          <t>2005-10-13</t>
        </is>
      </c>
      <c r="V130" t="inlineStr">
        <is>
          <t>2005-10-13</t>
        </is>
      </c>
      <c r="W130" t="inlineStr">
        <is>
          <t>1998-05-28</t>
        </is>
      </c>
      <c r="X130" t="inlineStr">
        <is>
          <t>1998-05-28</t>
        </is>
      </c>
      <c r="Y130" t="n">
        <v>757</v>
      </c>
      <c r="Z130" t="n">
        <v>591</v>
      </c>
      <c r="AA130" t="n">
        <v>595</v>
      </c>
      <c r="AB130" t="n">
        <v>4</v>
      </c>
      <c r="AC130" t="n">
        <v>4</v>
      </c>
      <c r="AD130" t="n">
        <v>25</v>
      </c>
      <c r="AE130" t="n">
        <v>25</v>
      </c>
      <c r="AF130" t="n">
        <v>13</v>
      </c>
      <c r="AG130" t="n">
        <v>13</v>
      </c>
      <c r="AH130" t="n">
        <v>6</v>
      </c>
      <c r="AI130" t="n">
        <v>6</v>
      </c>
      <c r="AJ130" t="n">
        <v>9</v>
      </c>
      <c r="AK130" t="n">
        <v>9</v>
      </c>
      <c r="AL130" t="n">
        <v>3</v>
      </c>
      <c r="AM130" t="n">
        <v>3</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HYPERLINK("https://creighton-primo.hosted.exlibrisgroup.com/primo-explore/search?tab=default_tab&amp;search_scope=EVERYTHING&amp;vid=01CRU&amp;lang=en_US&amp;offset=0&amp;query=any,contains,991002919259702656","Catalog Record")</f>
        <v/>
      </c>
      <c r="AT130">
        <f>HYPERLINK("http://www.worldcat.org/oclc/38726130","WorldCat Record")</f>
        <v/>
      </c>
      <c r="AU130" t="inlineStr">
        <is>
          <t>552704:eng</t>
        </is>
      </c>
      <c r="AV130" t="inlineStr">
        <is>
          <t>38726130</t>
        </is>
      </c>
      <c r="AW130" t="inlineStr">
        <is>
          <t>991002919259702656</t>
        </is>
      </c>
      <c r="AX130" t="inlineStr">
        <is>
          <t>991002919259702656</t>
        </is>
      </c>
      <c r="AY130" t="inlineStr">
        <is>
          <t>2257907210002656</t>
        </is>
      </c>
      <c r="AZ130" t="inlineStr">
        <is>
          <t>BOOK</t>
        </is>
      </c>
      <c r="BB130" t="inlineStr">
        <is>
          <t>9780500203071</t>
        </is>
      </c>
      <c r="BC130" t="inlineStr">
        <is>
          <t>32285003412193</t>
        </is>
      </c>
      <c r="BD130" t="inlineStr">
        <is>
          <t>893517928</t>
        </is>
      </c>
    </row>
    <row r="131">
      <c r="A131" t="inlineStr">
        <is>
          <t>No</t>
        </is>
      </c>
      <c r="B131" t="inlineStr">
        <is>
          <t>NB615 .M3 1971</t>
        </is>
      </c>
      <c r="C131" t="inlineStr">
        <is>
          <t>0                      NB 0615000M  3           1971</t>
        </is>
      </c>
      <c r="D131" t="inlineStr">
        <is>
          <t>Italian sculpture of the Renaissance.</t>
        </is>
      </c>
      <c r="F131" t="inlineStr">
        <is>
          <t>No</t>
        </is>
      </c>
      <c r="G131" t="inlineStr">
        <is>
          <t>1</t>
        </is>
      </c>
      <c r="H131" t="inlineStr">
        <is>
          <t>No</t>
        </is>
      </c>
      <c r="I131" t="inlineStr">
        <is>
          <t>No</t>
        </is>
      </c>
      <c r="J131" t="inlineStr">
        <is>
          <t>0</t>
        </is>
      </c>
      <c r="K131" t="inlineStr">
        <is>
          <t>Maclagan, Eric Robert Dalrymple, 1879-1951.</t>
        </is>
      </c>
      <c r="L131" t="inlineStr">
        <is>
          <t>Westport, Conn., Greenwood Press [1971, c1963]</t>
        </is>
      </c>
      <c r="M131" t="inlineStr">
        <is>
          <t>1971</t>
        </is>
      </c>
      <c r="O131" t="inlineStr">
        <is>
          <t>eng</t>
        </is>
      </c>
      <c r="P131" t="inlineStr">
        <is>
          <t>ctu</t>
        </is>
      </c>
      <c r="Q131" t="inlineStr">
        <is>
          <t>The Charles Eliot Norton lectures, 1927-1928</t>
        </is>
      </c>
      <c r="R131" t="inlineStr">
        <is>
          <t xml:space="preserve">NB </t>
        </is>
      </c>
      <c r="S131" t="n">
        <v>10</v>
      </c>
      <c r="T131" t="n">
        <v>10</v>
      </c>
      <c r="U131" t="inlineStr">
        <is>
          <t>2004-03-01</t>
        </is>
      </c>
      <c r="V131" t="inlineStr">
        <is>
          <t>2004-03-01</t>
        </is>
      </c>
      <c r="W131" t="inlineStr">
        <is>
          <t>1997-07-03</t>
        </is>
      </c>
      <c r="X131" t="inlineStr">
        <is>
          <t>1997-07-03</t>
        </is>
      </c>
      <c r="Y131" t="n">
        <v>223</v>
      </c>
      <c r="Z131" t="n">
        <v>188</v>
      </c>
      <c r="AA131" t="n">
        <v>201</v>
      </c>
      <c r="AB131" t="n">
        <v>2</v>
      </c>
      <c r="AC131" t="n">
        <v>2</v>
      </c>
      <c r="AD131" t="n">
        <v>14</v>
      </c>
      <c r="AE131" t="n">
        <v>14</v>
      </c>
      <c r="AF131" t="n">
        <v>3</v>
      </c>
      <c r="AG131" t="n">
        <v>3</v>
      </c>
      <c r="AH131" t="n">
        <v>7</v>
      </c>
      <c r="AI131" t="n">
        <v>7</v>
      </c>
      <c r="AJ131" t="n">
        <v>9</v>
      </c>
      <c r="AK131" t="n">
        <v>9</v>
      </c>
      <c r="AL131" t="n">
        <v>1</v>
      </c>
      <c r="AM131" t="n">
        <v>1</v>
      </c>
      <c r="AN131" t="n">
        <v>0</v>
      </c>
      <c r="AO131" t="n">
        <v>0</v>
      </c>
      <c r="AP131" t="inlineStr">
        <is>
          <t>No</t>
        </is>
      </c>
      <c r="AQ131" t="inlineStr">
        <is>
          <t>Yes</t>
        </is>
      </c>
      <c r="AR131">
        <f>HYPERLINK("http://catalog.hathitrust.org/Record/102069808","HathiTrust Record")</f>
        <v/>
      </c>
      <c r="AS131">
        <f>HYPERLINK("https://creighton-primo.hosted.exlibrisgroup.com/primo-explore/search?tab=default_tab&amp;search_scope=EVERYTHING&amp;vid=01CRU&amp;lang=en_US&amp;offset=0&amp;query=any,contains,991001236959702656","Catalog Record")</f>
        <v/>
      </c>
      <c r="AT131">
        <f>HYPERLINK("http://www.worldcat.org/oclc/206740","WorldCat Record")</f>
        <v/>
      </c>
      <c r="AU131" t="inlineStr">
        <is>
          <t>1270737:eng</t>
        </is>
      </c>
      <c r="AV131" t="inlineStr">
        <is>
          <t>206740</t>
        </is>
      </c>
      <c r="AW131" t="inlineStr">
        <is>
          <t>991001236959702656</t>
        </is>
      </c>
      <c r="AX131" t="inlineStr">
        <is>
          <t>991001236959702656</t>
        </is>
      </c>
      <c r="AY131" t="inlineStr">
        <is>
          <t>2255007400002656</t>
        </is>
      </c>
      <c r="AZ131" t="inlineStr">
        <is>
          <t>BOOK</t>
        </is>
      </c>
      <c r="BB131" t="inlineStr">
        <is>
          <t>9780837144986</t>
        </is>
      </c>
      <c r="BC131" t="inlineStr">
        <is>
          <t>32285002863859</t>
        </is>
      </c>
      <c r="BD131" t="inlineStr">
        <is>
          <t>893444631</t>
        </is>
      </c>
    </row>
    <row r="132">
      <c r="A132" t="inlineStr">
        <is>
          <t>No</t>
        </is>
      </c>
      <c r="B132" t="inlineStr">
        <is>
          <t>NB615 .O48 1992</t>
        </is>
      </c>
      <c r="C132" t="inlineStr">
        <is>
          <t>0                      NB 0615000O  48          1992</t>
        </is>
      </c>
      <c r="D132" t="inlineStr">
        <is>
          <t>Italian Renaissance sculpture / Roberta J.M. Olson.</t>
        </is>
      </c>
      <c r="F132" t="inlineStr">
        <is>
          <t>No</t>
        </is>
      </c>
      <c r="G132" t="inlineStr">
        <is>
          <t>1</t>
        </is>
      </c>
      <c r="H132" t="inlineStr">
        <is>
          <t>No</t>
        </is>
      </c>
      <c r="I132" t="inlineStr">
        <is>
          <t>No</t>
        </is>
      </c>
      <c r="J132" t="inlineStr">
        <is>
          <t>0</t>
        </is>
      </c>
      <c r="K132" t="inlineStr">
        <is>
          <t>Olson, Roberta J. M.</t>
        </is>
      </c>
      <c r="L132" t="inlineStr">
        <is>
          <t>London : Thames and Hudson, c1992.</t>
        </is>
      </c>
      <c r="M132" t="inlineStr">
        <is>
          <t>1992</t>
        </is>
      </c>
      <c r="O132" t="inlineStr">
        <is>
          <t>eng</t>
        </is>
      </c>
      <c r="P132" t="inlineStr">
        <is>
          <t>enk</t>
        </is>
      </c>
      <c r="Q132" t="inlineStr">
        <is>
          <t>World of art</t>
        </is>
      </c>
      <c r="R132" t="inlineStr">
        <is>
          <t xml:space="preserve">NB </t>
        </is>
      </c>
      <c r="S132" t="n">
        <v>2</v>
      </c>
      <c r="T132" t="n">
        <v>2</v>
      </c>
      <c r="U132" t="inlineStr">
        <is>
          <t>2006-08-27</t>
        </is>
      </c>
      <c r="V132" t="inlineStr">
        <is>
          <t>2006-08-27</t>
        </is>
      </c>
      <c r="W132" t="inlineStr">
        <is>
          <t>2005-03-22</t>
        </is>
      </c>
      <c r="X132" t="inlineStr">
        <is>
          <t>2005-03-22</t>
        </is>
      </c>
      <c r="Y132" t="n">
        <v>793</v>
      </c>
      <c r="Z132" t="n">
        <v>570</v>
      </c>
      <c r="AA132" t="n">
        <v>610</v>
      </c>
      <c r="AB132" t="n">
        <v>4</v>
      </c>
      <c r="AC132" t="n">
        <v>4</v>
      </c>
      <c r="AD132" t="n">
        <v>18</v>
      </c>
      <c r="AE132" t="n">
        <v>18</v>
      </c>
      <c r="AF132" t="n">
        <v>7</v>
      </c>
      <c r="AG132" t="n">
        <v>7</v>
      </c>
      <c r="AH132" t="n">
        <v>5</v>
      </c>
      <c r="AI132" t="n">
        <v>5</v>
      </c>
      <c r="AJ132" t="n">
        <v>8</v>
      </c>
      <c r="AK132" t="n">
        <v>8</v>
      </c>
      <c r="AL132" t="n">
        <v>2</v>
      </c>
      <c r="AM132" t="n">
        <v>2</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HYPERLINK("https://creighton-primo.hosted.exlibrisgroup.com/primo-explore/search?tab=default_tab&amp;search_scope=EVERYTHING&amp;vid=01CRU&amp;lang=en_US&amp;offset=0&amp;query=any,contains,991004492919702656","Catalog Record")</f>
        <v/>
      </c>
      <c r="AT132">
        <f>HYPERLINK("http://www.worldcat.org/oclc/25558588","WorldCat Record")</f>
        <v/>
      </c>
      <c r="AU132" t="inlineStr">
        <is>
          <t>907072:eng</t>
        </is>
      </c>
      <c r="AV132" t="inlineStr">
        <is>
          <t>25558588</t>
        </is>
      </c>
      <c r="AW132" t="inlineStr">
        <is>
          <t>991004492919702656</t>
        </is>
      </c>
      <c r="AX132" t="inlineStr">
        <is>
          <t>991004492919702656</t>
        </is>
      </c>
      <c r="AY132" t="inlineStr">
        <is>
          <t>2267483890002656</t>
        </is>
      </c>
      <c r="AZ132" t="inlineStr">
        <is>
          <t>BOOK</t>
        </is>
      </c>
      <c r="BB132" t="inlineStr">
        <is>
          <t>9780500202531</t>
        </is>
      </c>
      <c r="BC132" t="inlineStr">
        <is>
          <t>32285005044192</t>
        </is>
      </c>
      <c r="BD132" t="inlineStr">
        <is>
          <t>893700314</t>
        </is>
      </c>
    </row>
    <row r="133">
      <c r="A133" t="inlineStr">
        <is>
          <t>No</t>
        </is>
      </c>
      <c r="B133" t="inlineStr">
        <is>
          <t>NB615 .S45</t>
        </is>
      </c>
      <c r="C133" t="inlineStr">
        <is>
          <t>0                      NB 0615000S  45</t>
        </is>
      </c>
      <c r="D133" t="inlineStr">
        <is>
          <t>Sculpture in Italy: 1400-1500.</t>
        </is>
      </c>
      <c r="F133" t="inlineStr">
        <is>
          <t>No</t>
        </is>
      </c>
      <c r="G133" t="inlineStr">
        <is>
          <t>1</t>
        </is>
      </c>
      <c r="H133" t="inlineStr">
        <is>
          <t>No</t>
        </is>
      </c>
      <c r="I133" t="inlineStr">
        <is>
          <t>No</t>
        </is>
      </c>
      <c r="J133" t="inlineStr">
        <is>
          <t>0</t>
        </is>
      </c>
      <c r="K133" t="inlineStr">
        <is>
          <t>Seymour, Charles, Jr., 1912-1977.</t>
        </is>
      </c>
      <c r="L133" t="inlineStr">
        <is>
          <t>Harmondsworth, Penguin, 1966.</t>
        </is>
      </c>
      <c r="M133" t="inlineStr">
        <is>
          <t>1966</t>
        </is>
      </c>
      <c r="O133" t="inlineStr">
        <is>
          <t>eng</t>
        </is>
      </c>
      <c r="P133" t="inlineStr">
        <is>
          <t>enk</t>
        </is>
      </c>
      <c r="Q133" t="inlineStr">
        <is>
          <t>Pelican history of art</t>
        </is>
      </c>
      <c r="R133" t="inlineStr">
        <is>
          <t xml:space="preserve">NB </t>
        </is>
      </c>
      <c r="S133" t="n">
        <v>6</v>
      </c>
      <c r="T133" t="n">
        <v>6</v>
      </c>
      <c r="U133" t="inlineStr">
        <is>
          <t>2004-03-01</t>
        </is>
      </c>
      <c r="V133" t="inlineStr">
        <is>
          <t>2004-03-01</t>
        </is>
      </c>
      <c r="W133" t="inlineStr">
        <is>
          <t>1997-07-03</t>
        </is>
      </c>
      <c r="X133" t="inlineStr">
        <is>
          <t>1997-07-03</t>
        </is>
      </c>
      <c r="Y133" t="n">
        <v>776</v>
      </c>
      <c r="Z133" t="n">
        <v>611</v>
      </c>
      <c r="AA133" t="n">
        <v>784</v>
      </c>
      <c r="AB133" t="n">
        <v>4</v>
      </c>
      <c r="AC133" t="n">
        <v>6</v>
      </c>
      <c r="AD133" t="n">
        <v>26</v>
      </c>
      <c r="AE133" t="n">
        <v>35</v>
      </c>
      <c r="AF133" t="n">
        <v>11</v>
      </c>
      <c r="AG133" t="n">
        <v>16</v>
      </c>
      <c r="AH133" t="n">
        <v>7</v>
      </c>
      <c r="AI133" t="n">
        <v>7</v>
      </c>
      <c r="AJ133" t="n">
        <v>11</v>
      </c>
      <c r="AK133" t="n">
        <v>16</v>
      </c>
      <c r="AL133" t="n">
        <v>2</v>
      </c>
      <c r="AM133" t="n">
        <v>4</v>
      </c>
      <c r="AN133" t="n">
        <v>0</v>
      </c>
      <c r="AO133" t="n">
        <v>0</v>
      </c>
      <c r="AP133" t="inlineStr">
        <is>
          <t>No</t>
        </is>
      </c>
      <c r="AQ133" t="inlineStr">
        <is>
          <t>Yes</t>
        </is>
      </c>
      <c r="AR133">
        <f>HYPERLINK("http://catalog.hathitrust.org/Record/001467727","HathiTrust Record")</f>
        <v/>
      </c>
      <c r="AS133">
        <f>HYPERLINK("https://creighton-primo.hosted.exlibrisgroup.com/primo-explore/search?tab=default_tab&amp;search_scope=EVERYTHING&amp;vid=01CRU&amp;lang=en_US&amp;offset=0&amp;query=any,contains,991003307619702656","Catalog Record")</f>
        <v/>
      </c>
      <c r="AT133">
        <f>HYPERLINK("http://www.worldcat.org/oclc/831185","WorldCat Record")</f>
        <v/>
      </c>
      <c r="AU133" t="inlineStr">
        <is>
          <t>5092814099:eng</t>
        </is>
      </c>
      <c r="AV133" t="inlineStr">
        <is>
          <t>831185</t>
        </is>
      </c>
      <c r="AW133" t="inlineStr">
        <is>
          <t>991003307619702656</t>
        </is>
      </c>
      <c r="AX133" t="inlineStr">
        <is>
          <t>991003307619702656</t>
        </is>
      </c>
      <c r="AY133" t="inlineStr">
        <is>
          <t>2272295460002656</t>
        </is>
      </c>
      <c r="AZ133" t="inlineStr">
        <is>
          <t>BOOK</t>
        </is>
      </c>
      <c r="BC133" t="inlineStr">
        <is>
          <t>32285002863867</t>
        </is>
      </c>
      <c r="BD133" t="inlineStr">
        <is>
          <t>893416253</t>
        </is>
      </c>
    </row>
    <row r="134">
      <c r="A134" t="inlineStr">
        <is>
          <t>No</t>
        </is>
      </c>
      <c r="B134" t="inlineStr">
        <is>
          <t>NB620 .M66 1989</t>
        </is>
      </c>
      <c r="C134" t="inlineStr">
        <is>
          <t>0                      NB 0620000M  66          1989</t>
        </is>
      </c>
      <c r="D134" t="inlineStr">
        <is>
          <t>Roman baroque sculpture : the industry of art / Jennifer Montagu.</t>
        </is>
      </c>
      <c r="F134" t="inlineStr">
        <is>
          <t>No</t>
        </is>
      </c>
      <c r="G134" t="inlineStr">
        <is>
          <t>1</t>
        </is>
      </c>
      <c r="H134" t="inlineStr">
        <is>
          <t>No</t>
        </is>
      </c>
      <c r="I134" t="inlineStr">
        <is>
          <t>No</t>
        </is>
      </c>
      <c r="J134" t="inlineStr">
        <is>
          <t>0</t>
        </is>
      </c>
      <c r="K134" t="inlineStr">
        <is>
          <t>Montagu, Jennifer.</t>
        </is>
      </c>
      <c r="L134" t="inlineStr">
        <is>
          <t>New Haven, Conn. : Yale University Press, 1989</t>
        </is>
      </c>
      <c r="M134" t="inlineStr">
        <is>
          <t>1989</t>
        </is>
      </c>
      <c r="O134" t="inlineStr">
        <is>
          <t>eng</t>
        </is>
      </c>
      <c r="P134" t="inlineStr">
        <is>
          <t>ctu</t>
        </is>
      </c>
      <c r="R134" t="inlineStr">
        <is>
          <t xml:space="preserve">NB </t>
        </is>
      </c>
      <c r="S134" t="n">
        <v>8</v>
      </c>
      <c r="T134" t="n">
        <v>8</v>
      </c>
      <c r="U134" t="inlineStr">
        <is>
          <t>2000-04-18</t>
        </is>
      </c>
      <c r="V134" t="inlineStr">
        <is>
          <t>2000-04-18</t>
        </is>
      </c>
      <c r="W134" t="inlineStr">
        <is>
          <t>1990-07-16</t>
        </is>
      </c>
      <c r="X134" t="inlineStr">
        <is>
          <t>1990-07-16</t>
        </is>
      </c>
      <c r="Y134" t="n">
        <v>817</v>
      </c>
      <c r="Z134" t="n">
        <v>642</v>
      </c>
      <c r="AA134" t="n">
        <v>645</v>
      </c>
      <c r="AB134" t="n">
        <v>4</v>
      </c>
      <c r="AC134" t="n">
        <v>4</v>
      </c>
      <c r="AD134" t="n">
        <v>28</v>
      </c>
      <c r="AE134" t="n">
        <v>28</v>
      </c>
      <c r="AF134" t="n">
        <v>11</v>
      </c>
      <c r="AG134" t="n">
        <v>11</v>
      </c>
      <c r="AH134" t="n">
        <v>7</v>
      </c>
      <c r="AI134" t="n">
        <v>7</v>
      </c>
      <c r="AJ134" t="n">
        <v>14</v>
      </c>
      <c r="AK134" t="n">
        <v>14</v>
      </c>
      <c r="AL134" t="n">
        <v>2</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HYPERLINK("https://creighton-primo.hosted.exlibrisgroup.com/primo-explore/search?tab=default_tab&amp;search_scope=EVERYTHING&amp;vid=01CRU&amp;lang=en_US&amp;offset=0&amp;query=any,contains,991001393439702656","Catalog Record")</f>
        <v/>
      </c>
      <c r="AT134">
        <f>HYPERLINK("http://www.worldcat.org/oclc/18779695","WorldCat Record")</f>
        <v/>
      </c>
      <c r="AU134" t="inlineStr">
        <is>
          <t>18848885:eng</t>
        </is>
      </c>
      <c r="AV134" t="inlineStr">
        <is>
          <t>18779695</t>
        </is>
      </c>
      <c r="AW134" t="inlineStr">
        <is>
          <t>991001393439702656</t>
        </is>
      </c>
      <c r="AX134" t="inlineStr">
        <is>
          <t>991001393439702656</t>
        </is>
      </c>
      <c r="AY134" t="inlineStr">
        <is>
          <t>2256772850002656</t>
        </is>
      </c>
      <c r="AZ134" t="inlineStr">
        <is>
          <t>BOOK</t>
        </is>
      </c>
      <c r="BB134" t="inlineStr">
        <is>
          <t>9780300043921</t>
        </is>
      </c>
      <c r="BC134" t="inlineStr">
        <is>
          <t>32285000207968</t>
        </is>
      </c>
      <c r="BD134" t="inlineStr">
        <is>
          <t>893897768</t>
        </is>
      </c>
    </row>
    <row r="135">
      <c r="A135" t="inlineStr">
        <is>
          <t>No</t>
        </is>
      </c>
      <c r="B135" t="inlineStr">
        <is>
          <t>NB621.F6 A87 1970</t>
        </is>
      </c>
      <c r="C135" t="inlineStr">
        <is>
          <t>0                      NB 0621000F  6                  A  87          1970</t>
        </is>
      </c>
      <c r="D135" t="inlineStr">
        <is>
          <t>Florentine Renaissance sculpture / Charles Avery.</t>
        </is>
      </c>
      <c r="F135" t="inlineStr">
        <is>
          <t>No</t>
        </is>
      </c>
      <c r="G135" t="inlineStr">
        <is>
          <t>1</t>
        </is>
      </c>
      <c r="H135" t="inlineStr">
        <is>
          <t>No</t>
        </is>
      </c>
      <c r="I135" t="inlineStr">
        <is>
          <t>No</t>
        </is>
      </c>
      <c r="J135" t="inlineStr">
        <is>
          <t>0</t>
        </is>
      </c>
      <c r="K135" t="inlineStr">
        <is>
          <t>Avery, Charles (Art historian)</t>
        </is>
      </c>
      <c r="L135" t="inlineStr">
        <is>
          <t>London : J. Murray, c1970</t>
        </is>
      </c>
      <c r="M135" t="inlineStr">
        <is>
          <t>1970</t>
        </is>
      </c>
      <c r="O135" t="inlineStr">
        <is>
          <t>eng</t>
        </is>
      </c>
      <c r="P135" t="inlineStr">
        <is>
          <t>enk</t>
        </is>
      </c>
      <c r="R135" t="inlineStr">
        <is>
          <t xml:space="preserve">NB </t>
        </is>
      </c>
      <c r="S135" t="n">
        <v>9</v>
      </c>
      <c r="T135" t="n">
        <v>9</v>
      </c>
      <c r="U135" t="inlineStr">
        <is>
          <t>2004-03-01</t>
        </is>
      </c>
      <c r="V135" t="inlineStr">
        <is>
          <t>2004-03-01</t>
        </is>
      </c>
      <c r="W135" t="inlineStr">
        <is>
          <t>1999-03-24</t>
        </is>
      </c>
      <c r="X135" t="inlineStr">
        <is>
          <t>1999-03-24</t>
        </is>
      </c>
      <c r="Y135" t="n">
        <v>452</v>
      </c>
      <c r="Z135" t="n">
        <v>242</v>
      </c>
      <c r="AA135" t="n">
        <v>531</v>
      </c>
      <c r="AB135" t="n">
        <v>2</v>
      </c>
      <c r="AC135" t="n">
        <v>4</v>
      </c>
      <c r="AD135" t="n">
        <v>9</v>
      </c>
      <c r="AE135" t="n">
        <v>17</v>
      </c>
      <c r="AF135" t="n">
        <v>2</v>
      </c>
      <c r="AG135" t="n">
        <v>4</v>
      </c>
      <c r="AH135" t="n">
        <v>3</v>
      </c>
      <c r="AI135" t="n">
        <v>5</v>
      </c>
      <c r="AJ135" t="n">
        <v>6</v>
      </c>
      <c r="AK135" t="n">
        <v>8</v>
      </c>
      <c r="AL135" t="n">
        <v>1</v>
      </c>
      <c r="AM135" t="n">
        <v>3</v>
      </c>
      <c r="AN135" t="n">
        <v>0</v>
      </c>
      <c r="AO135" t="n">
        <v>0</v>
      </c>
      <c r="AP135" t="inlineStr">
        <is>
          <t>No</t>
        </is>
      </c>
      <c r="AQ135" t="inlineStr">
        <is>
          <t>Yes</t>
        </is>
      </c>
      <c r="AR135">
        <f>HYPERLINK("http://catalog.hathitrust.org/Record/001467742","HathiTrust Record")</f>
        <v/>
      </c>
      <c r="AS135">
        <f>HYPERLINK("https://creighton-primo.hosted.exlibrisgroup.com/primo-explore/search?tab=default_tab&amp;search_scope=EVERYTHING&amp;vid=01CRU&amp;lang=en_US&amp;offset=0&amp;query=any,contains,991000640869702656","Catalog Record")</f>
        <v/>
      </c>
      <c r="AT135">
        <f>HYPERLINK("http://www.worldcat.org/oclc/109600","WorldCat Record")</f>
        <v/>
      </c>
      <c r="AU135" t="inlineStr">
        <is>
          <t>1221913:eng</t>
        </is>
      </c>
      <c r="AV135" t="inlineStr">
        <is>
          <t>109600</t>
        </is>
      </c>
      <c r="AW135" t="inlineStr">
        <is>
          <t>991000640869702656</t>
        </is>
      </c>
      <c r="AX135" t="inlineStr">
        <is>
          <t>991000640869702656</t>
        </is>
      </c>
      <c r="AY135" t="inlineStr">
        <is>
          <t>2255151740002656</t>
        </is>
      </c>
      <c r="AZ135" t="inlineStr">
        <is>
          <t>BOOK</t>
        </is>
      </c>
      <c r="BB135" t="inlineStr">
        <is>
          <t>9780719519314</t>
        </is>
      </c>
      <c r="BC135" t="inlineStr">
        <is>
          <t>32285003545653</t>
        </is>
      </c>
      <c r="BD135" t="inlineStr">
        <is>
          <t>893878227</t>
        </is>
      </c>
    </row>
    <row r="136">
      <c r="A136" t="inlineStr">
        <is>
          <t>No</t>
        </is>
      </c>
      <c r="B136" t="inlineStr">
        <is>
          <t>NB621.V5 V5513</t>
        </is>
      </c>
      <c r="C136" t="inlineStr">
        <is>
          <t>0                      NB 0621000V  5                  V  5513</t>
        </is>
      </c>
      <c r="D136" t="inlineStr">
        <is>
          <t>Four golden horses in the sun / Ottavio Vittori, Anna Mestitz ; translated and edited by James A. Gray.</t>
        </is>
      </c>
      <c r="F136" t="inlineStr">
        <is>
          <t>No</t>
        </is>
      </c>
      <c r="G136" t="inlineStr">
        <is>
          <t>1</t>
        </is>
      </c>
      <c r="H136" t="inlineStr">
        <is>
          <t>No</t>
        </is>
      </c>
      <c r="I136" t="inlineStr">
        <is>
          <t>No</t>
        </is>
      </c>
      <c r="J136" t="inlineStr">
        <is>
          <t>0</t>
        </is>
      </c>
      <c r="K136" t="inlineStr">
        <is>
          <t>Vittori, Ottavio.</t>
        </is>
      </c>
      <c r="L136" t="inlineStr">
        <is>
          <t>New York : International Funds for Monuments, c1976.</t>
        </is>
      </c>
      <c r="M136" t="inlineStr">
        <is>
          <t>1976</t>
        </is>
      </c>
      <c r="O136" t="inlineStr">
        <is>
          <t>eng</t>
        </is>
      </c>
      <c r="P136" t="inlineStr">
        <is>
          <t>nyu</t>
        </is>
      </c>
      <c r="R136" t="inlineStr">
        <is>
          <t xml:space="preserve">NB </t>
        </is>
      </c>
      <c r="S136" t="n">
        <v>3</v>
      </c>
      <c r="T136" t="n">
        <v>3</v>
      </c>
      <c r="U136" t="inlineStr">
        <is>
          <t>2001-11-16</t>
        </is>
      </c>
      <c r="V136" t="inlineStr">
        <is>
          <t>2001-11-16</t>
        </is>
      </c>
      <c r="W136" t="inlineStr">
        <is>
          <t>1992-03-10</t>
        </is>
      </c>
      <c r="X136" t="inlineStr">
        <is>
          <t>1992-03-10</t>
        </is>
      </c>
      <c r="Y136" t="n">
        <v>92</v>
      </c>
      <c r="Z136" t="n">
        <v>83</v>
      </c>
      <c r="AA136" t="n">
        <v>84</v>
      </c>
      <c r="AB136" t="n">
        <v>2</v>
      </c>
      <c r="AC136" t="n">
        <v>2</v>
      </c>
      <c r="AD136" t="n">
        <v>4</v>
      </c>
      <c r="AE136" t="n">
        <v>4</v>
      </c>
      <c r="AF136" t="n">
        <v>2</v>
      </c>
      <c r="AG136" t="n">
        <v>2</v>
      </c>
      <c r="AH136" t="n">
        <v>1</v>
      </c>
      <c r="AI136" t="n">
        <v>1</v>
      </c>
      <c r="AJ136" t="n">
        <v>1</v>
      </c>
      <c r="AK136" t="n">
        <v>1</v>
      </c>
      <c r="AL136" t="n">
        <v>1</v>
      </c>
      <c r="AM136" t="n">
        <v>1</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HYPERLINK("https://creighton-primo.hosted.exlibrisgroup.com/primo-explore/search?tab=default_tab&amp;search_scope=EVERYTHING&amp;vid=01CRU&amp;lang=en_US&amp;offset=0&amp;query=any,contains,991004212569702656","Catalog Record")</f>
        <v/>
      </c>
      <c r="AT136">
        <f>HYPERLINK("http://www.worldcat.org/oclc/2688111","WorldCat Record")</f>
        <v/>
      </c>
      <c r="AU136" t="inlineStr">
        <is>
          <t>4495038833:eng</t>
        </is>
      </c>
      <c r="AV136" t="inlineStr">
        <is>
          <t>2688111</t>
        </is>
      </c>
      <c r="AW136" t="inlineStr">
        <is>
          <t>991004212569702656</t>
        </is>
      </c>
      <c r="AX136" t="inlineStr">
        <is>
          <t>991004212569702656</t>
        </is>
      </c>
      <c r="AY136" t="inlineStr">
        <is>
          <t>2260327330002656</t>
        </is>
      </c>
      <c r="AZ136" t="inlineStr">
        <is>
          <t>BOOK</t>
        </is>
      </c>
      <c r="BC136" t="inlineStr">
        <is>
          <t>32285001000842</t>
        </is>
      </c>
      <c r="BD136" t="inlineStr">
        <is>
          <t>893525797</t>
        </is>
      </c>
    </row>
    <row r="137">
      <c r="A137" t="inlineStr">
        <is>
          <t>No</t>
        </is>
      </c>
      <c r="B137" t="inlineStr">
        <is>
          <t>NB623.B5 H5 1965</t>
        </is>
      </c>
      <c r="C137" t="inlineStr">
        <is>
          <t>0                      NB 0623000B  5                  H  5           1965</t>
        </is>
      </c>
      <c r="D137" t="inlineStr">
        <is>
          <t>Bernini / Howard Hibbard.</t>
        </is>
      </c>
      <c r="F137" t="inlineStr">
        <is>
          <t>No</t>
        </is>
      </c>
      <c r="G137" t="inlineStr">
        <is>
          <t>1</t>
        </is>
      </c>
      <c r="H137" t="inlineStr">
        <is>
          <t>No</t>
        </is>
      </c>
      <c r="I137" t="inlineStr">
        <is>
          <t>No</t>
        </is>
      </c>
      <c r="J137" t="inlineStr">
        <is>
          <t>0</t>
        </is>
      </c>
      <c r="K137" t="inlineStr">
        <is>
          <t>Hibbard, Howard, 1928-1984.</t>
        </is>
      </c>
      <c r="L137" t="inlineStr">
        <is>
          <t>Harmondsworth, Middlesex, England ; New York, N.Y. : Penguin Books, c1965, 1966 printing.</t>
        </is>
      </c>
      <c r="M137" t="inlineStr">
        <is>
          <t>1965</t>
        </is>
      </c>
      <c r="O137" t="inlineStr">
        <is>
          <t>eng</t>
        </is>
      </c>
      <c r="P137" t="inlineStr">
        <is>
          <t>enk</t>
        </is>
      </c>
      <c r="Q137" t="inlineStr">
        <is>
          <t>Pelican books</t>
        </is>
      </c>
      <c r="R137" t="inlineStr">
        <is>
          <t xml:space="preserve">NB </t>
        </is>
      </c>
      <c r="S137" t="n">
        <v>16</v>
      </c>
      <c r="T137" t="n">
        <v>16</v>
      </c>
      <c r="U137" t="inlineStr">
        <is>
          <t>2010-11-14</t>
        </is>
      </c>
      <c r="V137" t="inlineStr">
        <is>
          <t>2010-11-14</t>
        </is>
      </c>
      <c r="W137" t="inlineStr">
        <is>
          <t>1992-02-04</t>
        </is>
      </c>
      <c r="X137" t="inlineStr">
        <is>
          <t>1992-02-04</t>
        </is>
      </c>
      <c r="Y137" t="n">
        <v>352</v>
      </c>
      <c r="Z137" t="n">
        <v>188</v>
      </c>
      <c r="AA137" t="n">
        <v>933</v>
      </c>
      <c r="AB137" t="n">
        <v>3</v>
      </c>
      <c r="AC137" t="n">
        <v>7</v>
      </c>
      <c r="AD137" t="n">
        <v>9</v>
      </c>
      <c r="AE137" t="n">
        <v>39</v>
      </c>
      <c r="AF137" t="n">
        <v>4</v>
      </c>
      <c r="AG137" t="n">
        <v>17</v>
      </c>
      <c r="AH137" t="n">
        <v>1</v>
      </c>
      <c r="AI137" t="n">
        <v>9</v>
      </c>
      <c r="AJ137" t="n">
        <v>5</v>
      </c>
      <c r="AK137" t="n">
        <v>21</v>
      </c>
      <c r="AL137" t="n">
        <v>1</v>
      </c>
      <c r="AM137" t="n">
        <v>5</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HYPERLINK("https://creighton-primo.hosted.exlibrisgroup.com/primo-explore/search?tab=default_tab&amp;search_scope=EVERYTHING&amp;vid=01CRU&amp;lang=en_US&amp;offset=0&amp;query=any,contains,991000178329702656","Catalog Record")</f>
        <v/>
      </c>
      <c r="AT137">
        <f>HYPERLINK("http://www.worldcat.org/oclc/9369587","WorldCat Record")</f>
        <v/>
      </c>
      <c r="AU137" t="inlineStr">
        <is>
          <t>104307084:eng</t>
        </is>
      </c>
      <c r="AV137" t="inlineStr">
        <is>
          <t>9369587</t>
        </is>
      </c>
      <c r="AW137" t="inlineStr">
        <is>
          <t>991000178329702656</t>
        </is>
      </c>
      <c r="AX137" t="inlineStr">
        <is>
          <t>991000178329702656</t>
        </is>
      </c>
      <c r="AY137" t="inlineStr">
        <is>
          <t>2258982630002656</t>
        </is>
      </c>
      <c r="AZ137" t="inlineStr">
        <is>
          <t>BOOK</t>
        </is>
      </c>
      <c r="BB137" t="inlineStr">
        <is>
          <t>9780140207019</t>
        </is>
      </c>
      <c r="BC137" t="inlineStr">
        <is>
          <t>32285000934306</t>
        </is>
      </c>
      <c r="BD137" t="inlineStr">
        <is>
          <t>893607724</t>
        </is>
      </c>
    </row>
    <row r="138">
      <c r="A138" t="inlineStr">
        <is>
          <t>No</t>
        </is>
      </c>
      <c r="B138" t="inlineStr">
        <is>
          <t>NB623.B5 W55</t>
        </is>
      </c>
      <c r="C138" t="inlineStr">
        <is>
          <t>0                      NB 0623000B  5                  W  55</t>
        </is>
      </c>
      <c r="D138" t="inlineStr">
        <is>
          <t>Gian Lorenzo Bernini : the sculptor of the Roman Baroque / Rudolf Wittkower.</t>
        </is>
      </c>
      <c r="F138" t="inlineStr">
        <is>
          <t>No</t>
        </is>
      </c>
      <c r="G138" t="inlineStr">
        <is>
          <t>1</t>
        </is>
      </c>
      <c r="H138" t="inlineStr">
        <is>
          <t>No</t>
        </is>
      </c>
      <c r="I138" t="inlineStr">
        <is>
          <t>No</t>
        </is>
      </c>
      <c r="J138" t="inlineStr">
        <is>
          <t>0</t>
        </is>
      </c>
      <c r="K138" t="inlineStr">
        <is>
          <t>Wittkower, Rudolf.</t>
        </is>
      </c>
      <c r="L138" t="inlineStr">
        <is>
          <t>London : Phaidon Press ; New York : distributed by Garden City Books, 1955.</t>
        </is>
      </c>
      <c r="M138" t="inlineStr">
        <is>
          <t>1955</t>
        </is>
      </c>
      <c r="O138" t="inlineStr">
        <is>
          <t>eng</t>
        </is>
      </c>
      <c r="P138" t="inlineStr">
        <is>
          <t>nyu</t>
        </is>
      </c>
      <c r="R138" t="inlineStr">
        <is>
          <t xml:space="preserve">NB </t>
        </is>
      </c>
      <c r="S138" t="n">
        <v>4</v>
      </c>
      <c r="T138" t="n">
        <v>4</v>
      </c>
      <c r="U138" t="inlineStr">
        <is>
          <t>2005-10-13</t>
        </is>
      </c>
      <c r="V138" t="inlineStr">
        <is>
          <t>2005-10-13</t>
        </is>
      </c>
      <c r="W138" t="inlineStr">
        <is>
          <t>1992-03-18</t>
        </is>
      </c>
      <c r="X138" t="inlineStr">
        <is>
          <t>1992-03-18</t>
        </is>
      </c>
      <c r="Y138" t="n">
        <v>524</v>
      </c>
      <c r="Z138" t="n">
        <v>398</v>
      </c>
      <c r="AA138" t="n">
        <v>416</v>
      </c>
      <c r="AB138" t="n">
        <v>2</v>
      </c>
      <c r="AC138" t="n">
        <v>2</v>
      </c>
      <c r="AD138" t="n">
        <v>14</v>
      </c>
      <c r="AE138" t="n">
        <v>14</v>
      </c>
      <c r="AF138" t="n">
        <v>2</v>
      </c>
      <c r="AG138" t="n">
        <v>2</v>
      </c>
      <c r="AH138" t="n">
        <v>4</v>
      </c>
      <c r="AI138" t="n">
        <v>4</v>
      </c>
      <c r="AJ138" t="n">
        <v>9</v>
      </c>
      <c r="AK138" t="n">
        <v>9</v>
      </c>
      <c r="AL138" t="n">
        <v>1</v>
      </c>
      <c r="AM138" t="n">
        <v>1</v>
      </c>
      <c r="AN138" t="n">
        <v>0</v>
      </c>
      <c r="AO138" t="n">
        <v>0</v>
      </c>
      <c r="AP138" t="inlineStr">
        <is>
          <t>No</t>
        </is>
      </c>
      <c r="AQ138" t="inlineStr">
        <is>
          <t>Yes</t>
        </is>
      </c>
      <c r="AR138">
        <f>HYPERLINK("http://catalog.hathitrust.org/Record/001467761","HathiTrust Record")</f>
        <v/>
      </c>
      <c r="AS138">
        <f>HYPERLINK("https://creighton-primo.hosted.exlibrisgroup.com/primo-explore/search?tab=default_tab&amp;search_scope=EVERYTHING&amp;vid=01CRU&amp;lang=en_US&amp;offset=0&amp;query=any,contains,991004874669702656","Catalog Record")</f>
        <v/>
      </c>
      <c r="AT138">
        <f>HYPERLINK("http://www.worldcat.org/oclc/5778087","WorldCat Record")</f>
        <v/>
      </c>
      <c r="AU138" t="inlineStr">
        <is>
          <t>450719:eng</t>
        </is>
      </c>
      <c r="AV138" t="inlineStr">
        <is>
          <t>5778087</t>
        </is>
      </c>
      <c r="AW138" t="inlineStr">
        <is>
          <t>991004874669702656</t>
        </is>
      </c>
      <c r="AX138" t="inlineStr">
        <is>
          <t>991004874669702656</t>
        </is>
      </c>
      <c r="AY138" t="inlineStr">
        <is>
          <t>2259136070002656</t>
        </is>
      </c>
      <c r="AZ138" t="inlineStr">
        <is>
          <t>BOOK</t>
        </is>
      </c>
      <c r="BC138" t="inlineStr">
        <is>
          <t>32285001023604</t>
        </is>
      </c>
      <c r="BD138" t="inlineStr">
        <is>
          <t>893883060</t>
        </is>
      </c>
    </row>
    <row r="139">
      <c r="A139" t="inlineStr">
        <is>
          <t>No</t>
        </is>
      </c>
      <c r="B139" t="inlineStr">
        <is>
          <t>NB623.B5 W55 1981</t>
        </is>
      </c>
      <c r="C139" t="inlineStr">
        <is>
          <t>0                      NB 0623000B  5                  W  55          1981</t>
        </is>
      </c>
      <c r="D139" t="inlineStr">
        <is>
          <t>Gian Lorenzo Bernini : the sculptor of the Roman baroque / Rudolf Wittkower.</t>
        </is>
      </c>
      <c r="F139" t="inlineStr">
        <is>
          <t>No</t>
        </is>
      </c>
      <c r="G139" t="inlineStr">
        <is>
          <t>1</t>
        </is>
      </c>
      <c r="H139" t="inlineStr">
        <is>
          <t>No</t>
        </is>
      </c>
      <c r="I139" t="inlineStr">
        <is>
          <t>No</t>
        </is>
      </c>
      <c r="J139" t="inlineStr">
        <is>
          <t>0</t>
        </is>
      </c>
      <c r="K139" t="inlineStr">
        <is>
          <t>Wittkower, Rudolf.</t>
        </is>
      </c>
      <c r="L139" t="inlineStr">
        <is>
          <t>Ithaca : Cornell University Press, 1981.</t>
        </is>
      </c>
      <c r="M139" t="inlineStr">
        <is>
          <t>1981</t>
        </is>
      </c>
      <c r="N139" t="inlineStr">
        <is>
          <t>3rd ed. / rev. by Howard Hibbard, Thomas Martin and Margot Wittkower.</t>
        </is>
      </c>
      <c r="O139" t="inlineStr">
        <is>
          <t>eng</t>
        </is>
      </c>
      <c r="P139" t="inlineStr">
        <is>
          <t>nyu</t>
        </is>
      </c>
      <c r="R139" t="inlineStr">
        <is>
          <t xml:space="preserve">NB </t>
        </is>
      </c>
      <c r="S139" t="n">
        <v>32</v>
      </c>
      <c r="T139" t="n">
        <v>32</v>
      </c>
      <c r="U139" t="inlineStr">
        <is>
          <t>2010-03-16</t>
        </is>
      </c>
      <c r="V139" t="inlineStr">
        <is>
          <t>2010-03-16</t>
        </is>
      </c>
      <c r="W139" t="inlineStr">
        <is>
          <t>1993-05-18</t>
        </is>
      </c>
      <c r="X139" t="inlineStr">
        <is>
          <t>1993-05-18</t>
        </is>
      </c>
      <c r="Y139" t="n">
        <v>249</v>
      </c>
      <c r="Z139" t="n">
        <v>226</v>
      </c>
      <c r="AA139" t="n">
        <v>286</v>
      </c>
      <c r="AB139" t="n">
        <v>2</v>
      </c>
      <c r="AC139" t="n">
        <v>3</v>
      </c>
      <c r="AD139" t="n">
        <v>9</v>
      </c>
      <c r="AE139" t="n">
        <v>11</v>
      </c>
      <c r="AF139" t="n">
        <v>3</v>
      </c>
      <c r="AG139" t="n">
        <v>3</v>
      </c>
      <c r="AH139" t="n">
        <v>2</v>
      </c>
      <c r="AI139" t="n">
        <v>2</v>
      </c>
      <c r="AJ139" t="n">
        <v>6</v>
      </c>
      <c r="AK139" t="n">
        <v>7</v>
      </c>
      <c r="AL139" t="n">
        <v>1</v>
      </c>
      <c r="AM139" t="n">
        <v>2</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HYPERLINK("https://creighton-primo.hosted.exlibrisgroup.com/primo-explore/search?tab=default_tab&amp;search_scope=EVERYTHING&amp;vid=01CRU&amp;lang=en_US&amp;offset=0&amp;query=any,contains,991005199129702656","Catalog Record")</f>
        <v/>
      </c>
      <c r="AT139">
        <f>HYPERLINK("http://www.worldcat.org/oclc/8058113","WorldCat Record")</f>
        <v/>
      </c>
      <c r="AU139" t="inlineStr">
        <is>
          <t>2057917510:eng</t>
        </is>
      </c>
      <c r="AV139" t="inlineStr">
        <is>
          <t>8058113</t>
        </is>
      </c>
      <c r="AW139" t="inlineStr">
        <is>
          <t>991005199129702656</t>
        </is>
      </c>
      <c r="AX139" t="inlineStr">
        <is>
          <t>991005199129702656</t>
        </is>
      </c>
      <c r="AY139" t="inlineStr">
        <is>
          <t>2255635130002656</t>
        </is>
      </c>
      <c r="AZ139" t="inlineStr">
        <is>
          <t>BOOK</t>
        </is>
      </c>
      <c r="BB139" t="inlineStr">
        <is>
          <t>9780801414305</t>
        </is>
      </c>
      <c r="BC139" t="inlineStr">
        <is>
          <t>32285005341135</t>
        </is>
      </c>
      <c r="BD139" t="inlineStr">
        <is>
          <t>893902279</t>
        </is>
      </c>
    </row>
    <row r="140">
      <c r="A140" t="inlineStr">
        <is>
          <t>No</t>
        </is>
      </c>
      <c r="B140" t="inlineStr">
        <is>
          <t>NB623.B9 C6</t>
        </is>
      </c>
      <c r="C140" t="inlineStr">
        <is>
          <t>0                      NB 0623000B  9                  C  6</t>
        </is>
      </c>
      <c r="D140" t="inlineStr">
        <is>
          <t>The world of Michelangelo, 1475-1564 / by Robert Coughlan and the editors of Time-Life Books.</t>
        </is>
      </c>
      <c r="F140" t="inlineStr">
        <is>
          <t>No</t>
        </is>
      </c>
      <c r="G140" t="inlineStr">
        <is>
          <t>1</t>
        </is>
      </c>
      <c r="H140" t="inlineStr">
        <is>
          <t>No</t>
        </is>
      </c>
      <c r="I140" t="inlineStr">
        <is>
          <t>No</t>
        </is>
      </c>
      <c r="J140" t="inlineStr">
        <is>
          <t>0</t>
        </is>
      </c>
      <c r="K140" t="inlineStr">
        <is>
          <t>Coughlan, Robert, 1914-1992.</t>
        </is>
      </c>
      <c r="L140" t="inlineStr">
        <is>
          <t>New York : Time, inc., [1966]</t>
        </is>
      </c>
      <c r="M140" t="inlineStr">
        <is>
          <t>1966</t>
        </is>
      </c>
      <c r="O140" t="inlineStr">
        <is>
          <t>eng</t>
        </is>
      </c>
      <c r="P140" t="inlineStr">
        <is>
          <t>nyu</t>
        </is>
      </c>
      <c r="Q140" t="inlineStr">
        <is>
          <t>Time-Life library of art</t>
        </is>
      </c>
      <c r="R140" t="inlineStr">
        <is>
          <t xml:space="preserve">NB </t>
        </is>
      </c>
      <c r="S140" t="n">
        <v>10</v>
      </c>
      <c r="T140" t="n">
        <v>10</v>
      </c>
      <c r="U140" t="inlineStr">
        <is>
          <t>2005-04-13</t>
        </is>
      </c>
      <c r="V140" t="inlineStr">
        <is>
          <t>2005-04-13</t>
        </is>
      </c>
      <c r="W140" t="inlineStr">
        <is>
          <t>1994-05-10</t>
        </is>
      </c>
      <c r="X140" t="inlineStr">
        <is>
          <t>1994-05-10</t>
        </is>
      </c>
      <c r="Y140" t="n">
        <v>3321</v>
      </c>
      <c r="Z140" t="n">
        <v>3121</v>
      </c>
      <c r="AA140" t="n">
        <v>3296</v>
      </c>
      <c r="AB140" t="n">
        <v>29</v>
      </c>
      <c r="AC140" t="n">
        <v>33</v>
      </c>
      <c r="AD140" t="n">
        <v>53</v>
      </c>
      <c r="AE140" t="n">
        <v>53</v>
      </c>
      <c r="AF140" t="n">
        <v>24</v>
      </c>
      <c r="AG140" t="n">
        <v>24</v>
      </c>
      <c r="AH140" t="n">
        <v>8</v>
      </c>
      <c r="AI140" t="n">
        <v>8</v>
      </c>
      <c r="AJ140" t="n">
        <v>21</v>
      </c>
      <c r="AK140" t="n">
        <v>21</v>
      </c>
      <c r="AL140" t="n">
        <v>11</v>
      </c>
      <c r="AM140" t="n">
        <v>11</v>
      </c>
      <c r="AN140" t="n">
        <v>0</v>
      </c>
      <c r="AO140" t="n">
        <v>0</v>
      </c>
      <c r="AP140" t="inlineStr">
        <is>
          <t>No</t>
        </is>
      </c>
      <c r="AQ140" t="inlineStr">
        <is>
          <t>Yes</t>
        </is>
      </c>
      <c r="AR140">
        <f>HYPERLINK("http://catalog.hathitrust.org/Record/000339928","HathiTrust Record")</f>
        <v/>
      </c>
      <c r="AS140">
        <f>HYPERLINK("https://creighton-primo.hosted.exlibrisgroup.com/primo-explore/search?tab=default_tab&amp;search_scope=EVERYTHING&amp;vid=01CRU&amp;lang=en_US&amp;offset=0&amp;query=any,contains,991003182359702656","Catalog Record")</f>
        <v/>
      </c>
      <c r="AT140">
        <f>HYPERLINK("http://www.worldcat.org/oclc/711977","WorldCat Record")</f>
        <v/>
      </c>
      <c r="AU140" t="inlineStr">
        <is>
          <t>131632630:eng</t>
        </is>
      </c>
      <c r="AV140" t="inlineStr">
        <is>
          <t>711977</t>
        </is>
      </c>
      <c r="AW140" t="inlineStr">
        <is>
          <t>991003182359702656</t>
        </is>
      </c>
      <c r="AX140" t="inlineStr">
        <is>
          <t>991003182359702656</t>
        </is>
      </c>
      <c r="AY140" t="inlineStr">
        <is>
          <t>2261877410002656</t>
        </is>
      </c>
      <c r="AZ140" t="inlineStr">
        <is>
          <t>BOOK</t>
        </is>
      </c>
      <c r="BC140" t="inlineStr">
        <is>
          <t>32285001909828</t>
        </is>
      </c>
      <c r="BD140" t="inlineStr">
        <is>
          <t>893428514</t>
        </is>
      </c>
    </row>
    <row r="141">
      <c r="A141" t="inlineStr">
        <is>
          <t>No</t>
        </is>
      </c>
      <c r="B141" t="inlineStr">
        <is>
          <t>NB623.B9 H3</t>
        </is>
      </c>
      <c r="C141" t="inlineStr">
        <is>
          <t>0                      NB 0623000B  9                  H  3</t>
        </is>
      </c>
      <c r="D141" t="inlineStr">
        <is>
          <t>Michelangelo : the complete sculpture.</t>
        </is>
      </c>
      <c r="F141" t="inlineStr">
        <is>
          <t>No</t>
        </is>
      </c>
      <c r="G141" t="inlineStr">
        <is>
          <t>1</t>
        </is>
      </c>
      <c r="H141" t="inlineStr">
        <is>
          <t>No</t>
        </is>
      </c>
      <c r="I141" t="inlineStr">
        <is>
          <t>No</t>
        </is>
      </c>
      <c r="J141" t="inlineStr">
        <is>
          <t>0</t>
        </is>
      </c>
      <c r="K141" t="inlineStr">
        <is>
          <t>Hartt, Frederick.</t>
        </is>
      </c>
      <c r="L141" t="inlineStr">
        <is>
          <t>New York : H.N. Abrams, [1968?]</t>
        </is>
      </c>
      <c r="M141" t="inlineStr">
        <is>
          <t>1968</t>
        </is>
      </c>
      <c r="O141" t="inlineStr">
        <is>
          <t>eng</t>
        </is>
      </c>
      <c r="P141" t="inlineStr">
        <is>
          <t>nyu</t>
        </is>
      </c>
      <c r="R141" t="inlineStr">
        <is>
          <t xml:space="preserve">NB </t>
        </is>
      </c>
      <c r="S141" t="n">
        <v>15</v>
      </c>
      <c r="T141" t="n">
        <v>15</v>
      </c>
      <c r="U141" t="inlineStr">
        <is>
          <t>1999-07-15</t>
        </is>
      </c>
      <c r="V141" t="inlineStr">
        <is>
          <t>1999-07-15</t>
        </is>
      </c>
      <c r="W141" t="inlineStr">
        <is>
          <t>1994-04-20</t>
        </is>
      </c>
      <c r="X141" t="inlineStr">
        <is>
          <t>1994-04-20</t>
        </is>
      </c>
      <c r="Y141" t="n">
        <v>715</v>
      </c>
      <c r="Z141" t="n">
        <v>673</v>
      </c>
      <c r="AA141" t="n">
        <v>734</v>
      </c>
      <c r="AB141" t="n">
        <v>6</v>
      </c>
      <c r="AC141" t="n">
        <v>7</v>
      </c>
      <c r="AD141" t="n">
        <v>20</v>
      </c>
      <c r="AE141" t="n">
        <v>20</v>
      </c>
      <c r="AF141" t="n">
        <v>8</v>
      </c>
      <c r="AG141" t="n">
        <v>8</v>
      </c>
      <c r="AH141" t="n">
        <v>5</v>
      </c>
      <c r="AI141" t="n">
        <v>5</v>
      </c>
      <c r="AJ141" t="n">
        <v>8</v>
      </c>
      <c r="AK141" t="n">
        <v>8</v>
      </c>
      <c r="AL141" t="n">
        <v>3</v>
      </c>
      <c r="AM141" t="n">
        <v>3</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HYPERLINK("https://creighton-primo.hosted.exlibrisgroup.com/primo-explore/search?tab=default_tab&amp;search_scope=EVERYTHING&amp;vid=01CRU&amp;lang=en_US&amp;offset=0&amp;query=any,contains,991000123099702656","Catalog Record")</f>
        <v/>
      </c>
      <c r="AT141">
        <f>HYPERLINK("http://www.worldcat.org/oclc/50931","WorldCat Record")</f>
        <v/>
      </c>
      <c r="AU141" t="inlineStr">
        <is>
          <t>4783195403:eng</t>
        </is>
      </c>
      <c r="AV141" t="inlineStr">
        <is>
          <t>50931</t>
        </is>
      </c>
      <c r="AW141" t="inlineStr">
        <is>
          <t>991000123099702656</t>
        </is>
      </c>
      <c r="AX141" t="inlineStr">
        <is>
          <t>991000123099702656</t>
        </is>
      </c>
      <c r="AY141" t="inlineStr">
        <is>
          <t>2255594910002656</t>
        </is>
      </c>
      <c r="AZ141" t="inlineStr">
        <is>
          <t>BOOK</t>
        </is>
      </c>
      <c r="BC141" t="inlineStr">
        <is>
          <t>32285001889962</t>
        </is>
      </c>
      <c r="BD141" t="inlineStr">
        <is>
          <t>893884135</t>
        </is>
      </c>
    </row>
    <row r="142">
      <c r="A142" t="inlineStr">
        <is>
          <t>No</t>
        </is>
      </c>
      <c r="B142" t="inlineStr">
        <is>
          <t>NB623.C3 S45 1906</t>
        </is>
      </c>
      <c r="C142" t="inlineStr">
        <is>
          <t>0                      NB 0623000C  3                  S  45          1906</t>
        </is>
      </c>
      <c r="D142" t="inlineStr">
        <is>
          <t>The life of Benvenuto Cellini, written by himself; ed. and tr. by John Addington Symonds, with a biographical sketch of Cellini by the same hand, together with an introduction to this edition upon Benvenuto Cellni, artist and writer, by Royal Cortissoz. With reproductions of forty original portraits and views illustrating the life.</t>
        </is>
      </c>
      <c r="E142" t="inlineStr">
        <is>
          <t>V.1</t>
        </is>
      </c>
      <c r="F142" t="inlineStr">
        <is>
          <t>Yes</t>
        </is>
      </c>
      <c r="G142" t="inlineStr">
        <is>
          <t>1</t>
        </is>
      </c>
      <c r="H142" t="inlineStr">
        <is>
          <t>No</t>
        </is>
      </c>
      <c r="I142" t="inlineStr">
        <is>
          <t>Yes</t>
        </is>
      </c>
      <c r="J142" t="inlineStr">
        <is>
          <t>0</t>
        </is>
      </c>
      <c r="K142" t="inlineStr">
        <is>
          <t>Cellini, Benvenuto, 1500-1571.</t>
        </is>
      </c>
      <c r="L142" t="inlineStr">
        <is>
          <t>New York, Brentano's [1906]</t>
        </is>
      </c>
      <c r="M142" t="inlineStr">
        <is>
          <t>1906</t>
        </is>
      </c>
      <c r="O142" t="inlineStr">
        <is>
          <t>eng</t>
        </is>
      </c>
      <c r="P142" t="inlineStr">
        <is>
          <t>nyu</t>
        </is>
      </c>
      <c r="R142" t="inlineStr">
        <is>
          <t xml:space="preserve">NB </t>
        </is>
      </c>
      <c r="S142" t="n">
        <v>2</v>
      </c>
      <c r="T142" t="n">
        <v>4</v>
      </c>
      <c r="U142" t="inlineStr">
        <is>
          <t>2000-04-03</t>
        </is>
      </c>
      <c r="V142" t="inlineStr">
        <is>
          <t>2000-04-03</t>
        </is>
      </c>
      <c r="W142" t="inlineStr">
        <is>
          <t>1997-07-03</t>
        </is>
      </c>
      <c r="X142" t="inlineStr">
        <is>
          <t>1997-07-03</t>
        </is>
      </c>
      <c r="Y142" t="n">
        <v>469</v>
      </c>
      <c r="Z142" t="n">
        <v>446</v>
      </c>
      <c r="AA142" t="n">
        <v>3562</v>
      </c>
      <c r="AB142" t="n">
        <v>2</v>
      </c>
      <c r="AC142" t="n">
        <v>35</v>
      </c>
      <c r="AD142" t="n">
        <v>22</v>
      </c>
      <c r="AE142" t="n">
        <v>72</v>
      </c>
      <c r="AF142" t="n">
        <v>9</v>
      </c>
      <c r="AG142" t="n">
        <v>29</v>
      </c>
      <c r="AH142" t="n">
        <v>6</v>
      </c>
      <c r="AI142" t="n">
        <v>11</v>
      </c>
      <c r="AJ142" t="n">
        <v>13</v>
      </c>
      <c r="AK142" t="n">
        <v>28</v>
      </c>
      <c r="AL142" t="n">
        <v>1</v>
      </c>
      <c r="AM142" t="n">
        <v>18</v>
      </c>
      <c r="AN142" t="n">
        <v>0</v>
      </c>
      <c r="AO142" t="n">
        <v>0</v>
      </c>
      <c r="AP142" t="inlineStr">
        <is>
          <t>Yes</t>
        </is>
      </c>
      <c r="AQ142" t="inlineStr">
        <is>
          <t>No</t>
        </is>
      </c>
      <c r="AR142">
        <f>HYPERLINK("http://catalog.hathitrust.org/Record/001467777","HathiTrust Record")</f>
        <v/>
      </c>
      <c r="AS142">
        <f>HYPERLINK("https://creighton-primo.hosted.exlibrisgroup.com/primo-explore/search?tab=default_tab&amp;search_scope=EVERYTHING&amp;vid=01CRU&amp;lang=en_US&amp;offset=0&amp;query=any,contains,991002943929702656","Catalog Record")</f>
        <v/>
      </c>
      <c r="AT142">
        <f>HYPERLINK("http://www.worldcat.org/oclc/536112","WorldCat Record")</f>
        <v/>
      </c>
      <c r="AU142" t="inlineStr">
        <is>
          <t>4095492522:eng</t>
        </is>
      </c>
      <c r="AV142" t="inlineStr">
        <is>
          <t>536112</t>
        </is>
      </c>
      <c r="AW142" t="inlineStr">
        <is>
          <t>991002943929702656</t>
        </is>
      </c>
      <c r="AX142" t="inlineStr">
        <is>
          <t>991002943929702656</t>
        </is>
      </c>
      <c r="AY142" t="inlineStr">
        <is>
          <t>2263840310002656</t>
        </is>
      </c>
      <c r="AZ142" t="inlineStr">
        <is>
          <t>BOOK</t>
        </is>
      </c>
      <c r="BC142" t="inlineStr">
        <is>
          <t>32285002863875</t>
        </is>
      </c>
      <c r="BD142" t="inlineStr">
        <is>
          <t>893227477</t>
        </is>
      </c>
    </row>
    <row r="143">
      <c r="A143" t="inlineStr">
        <is>
          <t>No</t>
        </is>
      </c>
      <c r="B143" t="inlineStr">
        <is>
          <t>NB623.C3 S45 1906</t>
        </is>
      </c>
      <c r="C143" t="inlineStr">
        <is>
          <t>0                      NB 0623000C  3                  S  45          1906</t>
        </is>
      </c>
      <c r="D143" t="inlineStr">
        <is>
          <t>The life of Benvenuto Cellini, written by himself; ed. and tr. by John Addington Symonds, with a biographical sketch of Cellini by the same hand, together with an introduction to this edition upon Benvenuto Cellni, artist and writer, by Royal Cortissoz. With reproductions of forty original portraits and views illustrating the life.</t>
        </is>
      </c>
      <c r="E143" t="inlineStr">
        <is>
          <t>V.2</t>
        </is>
      </c>
      <c r="F143" t="inlineStr">
        <is>
          <t>Yes</t>
        </is>
      </c>
      <c r="G143" t="inlineStr">
        <is>
          <t>1</t>
        </is>
      </c>
      <c r="H143" t="inlineStr">
        <is>
          <t>No</t>
        </is>
      </c>
      <c r="I143" t="inlineStr">
        <is>
          <t>Yes</t>
        </is>
      </c>
      <c r="J143" t="inlineStr">
        <is>
          <t>0</t>
        </is>
      </c>
      <c r="K143" t="inlineStr">
        <is>
          <t>Cellini, Benvenuto, 1500-1571.</t>
        </is>
      </c>
      <c r="L143" t="inlineStr">
        <is>
          <t>New York, Brentano's [1906]</t>
        </is>
      </c>
      <c r="M143" t="inlineStr">
        <is>
          <t>1906</t>
        </is>
      </c>
      <c r="O143" t="inlineStr">
        <is>
          <t>eng</t>
        </is>
      </c>
      <c r="P143" t="inlineStr">
        <is>
          <t>nyu</t>
        </is>
      </c>
      <c r="R143" t="inlineStr">
        <is>
          <t xml:space="preserve">NB </t>
        </is>
      </c>
      <c r="S143" t="n">
        <v>2</v>
      </c>
      <c r="T143" t="n">
        <v>4</v>
      </c>
      <c r="U143" t="inlineStr">
        <is>
          <t>2000-04-03</t>
        </is>
      </c>
      <c r="V143" t="inlineStr">
        <is>
          <t>2000-04-03</t>
        </is>
      </c>
      <c r="W143" t="inlineStr">
        <is>
          <t>1997-07-03</t>
        </is>
      </c>
      <c r="X143" t="inlineStr">
        <is>
          <t>1997-07-03</t>
        </is>
      </c>
      <c r="Y143" t="n">
        <v>469</v>
      </c>
      <c r="Z143" t="n">
        <v>446</v>
      </c>
      <c r="AA143" t="n">
        <v>3562</v>
      </c>
      <c r="AB143" t="n">
        <v>2</v>
      </c>
      <c r="AC143" t="n">
        <v>35</v>
      </c>
      <c r="AD143" t="n">
        <v>22</v>
      </c>
      <c r="AE143" t="n">
        <v>72</v>
      </c>
      <c r="AF143" t="n">
        <v>9</v>
      </c>
      <c r="AG143" t="n">
        <v>29</v>
      </c>
      <c r="AH143" t="n">
        <v>6</v>
      </c>
      <c r="AI143" t="n">
        <v>11</v>
      </c>
      <c r="AJ143" t="n">
        <v>13</v>
      </c>
      <c r="AK143" t="n">
        <v>28</v>
      </c>
      <c r="AL143" t="n">
        <v>1</v>
      </c>
      <c r="AM143" t="n">
        <v>18</v>
      </c>
      <c r="AN143" t="n">
        <v>0</v>
      </c>
      <c r="AO143" t="n">
        <v>0</v>
      </c>
      <c r="AP143" t="inlineStr">
        <is>
          <t>Yes</t>
        </is>
      </c>
      <c r="AQ143" t="inlineStr">
        <is>
          <t>No</t>
        </is>
      </c>
      <c r="AR143">
        <f>HYPERLINK("http://catalog.hathitrust.org/Record/001467777","HathiTrust Record")</f>
        <v/>
      </c>
      <c r="AS143">
        <f>HYPERLINK("https://creighton-primo.hosted.exlibrisgroup.com/primo-explore/search?tab=default_tab&amp;search_scope=EVERYTHING&amp;vid=01CRU&amp;lang=en_US&amp;offset=0&amp;query=any,contains,991002943929702656","Catalog Record")</f>
        <v/>
      </c>
      <c r="AT143">
        <f>HYPERLINK("http://www.worldcat.org/oclc/536112","WorldCat Record")</f>
        <v/>
      </c>
      <c r="AU143" t="inlineStr">
        <is>
          <t>4095492522:eng</t>
        </is>
      </c>
      <c r="AV143" t="inlineStr">
        <is>
          <t>536112</t>
        </is>
      </c>
      <c r="AW143" t="inlineStr">
        <is>
          <t>991002943929702656</t>
        </is>
      </c>
      <c r="AX143" t="inlineStr">
        <is>
          <t>991002943929702656</t>
        </is>
      </c>
      <c r="AY143" t="inlineStr">
        <is>
          <t>2263840310002656</t>
        </is>
      </c>
      <c r="AZ143" t="inlineStr">
        <is>
          <t>BOOK</t>
        </is>
      </c>
      <c r="BC143" t="inlineStr">
        <is>
          <t>32285002863883</t>
        </is>
      </c>
      <c r="BD143" t="inlineStr">
        <is>
          <t>893257906</t>
        </is>
      </c>
    </row>
    <row r="144">
      <c r="A144" t="inlineStr">
        <is>
          <t>No</t>
        </is>
      </c>
      <c r="B144" t="inlineStr">
        <is>
          <t>NB623.C3 S45 1969</t>
        </is>
      </c>
      <c r="C144" t="inlineStr">
        <is>
          <t>0                      NB 0623000C  3                  S  45          1969</t>
        </is>
      </c>
      <c r="D144" t="inlineStr">
        <is>
          <t>The autobiography of Benvenuto Cellini / edited by Alfred Tamarin. Abridged and adapted from the translation by John Addington Symonds.</t>
        </is>
      </c>
      <c r="F144" t="inlineStr">
        <is>
          <t>No</t>
        </is>
      </c>
      <c r="G144" t="inlineStr">
        <is>
          <t>1</t>
        </is>
      </c>
      <c r="H144" t="inlineStr">
        <is>
          <t>No</t>
        </is>
      </c>
      <c r="I144" t="inlineStr">
        <is>
          <t>No</t>
        </is>
      </c>
      <c r="J144" t="inlineStr">
        <is>
          <t>0</t>
        </is>
      </c>
      <c r="K144" t="inlineStr">
        <is>
          <t>Tamarin, Alfred H.</t>
        </is>
      </c>
      <c r="L144" t="inlineStr">
        <is>
          <t>[New York] : Macmillan, [1969]</t>
        </is>
      </c>
      <c r="M144" t="inlineStr">
        <is>
          <t>1969</t>
        </is>
      </c>
      <c r="O144" t="inlineStr">
        <is>
          <t>eng</t>
        </is>
      </c>
      <c r="P144" t="inlineStr">
        <is>
          <t>nyu</t>
        </is>
      </c>
      <c r="R144" t="inlineStr">
        <is>
          <t xml:space="preserve">NB </t>
        </is>
      </c>
      <c r="S144" t="n">
        <v>2</v>
      </c>
      <c r="T144" t="n">
        <v>2</v>
      </c>
      <c r="U144" t="inlineStr">
        <is>
          <t>2009-11-24</t>
        </is>
      </c>
      <c r="V144" t="inlineStr">
        <is>
          <t>2009-11-24</t>
        </is>
      </c>
      <c r="W144" t="inlineStr">
        <is>
          <t>2003-03-31</t>
        </is>
      </c>
      <c r="X144" t="inlineStr">
        <is>
          <t>2003-03-31</t>
        </is>
      </c>
      <c r="Y144" t="n">
        <v>368</v>
      </c>
      <c r="Z144" t="n">
        <v>348</v>
      </c>
      <c r="AA144" t="n">
        <v>359</v>
      </c>
      <c r="AB144" t="n">
        <v>2</v>
      </c>
      <c r="AC144" t="n">
        <v>2</v>
      </c>
      <c r="AD144" t="n">
        <v>3</v>
      </c>
      <c r="AE144" t="n">
        <v>3</v>
      </c>
      <c r="AF144" t="n">
        <v>1</v>
      </c>
      <c r="AG144" t="n">
        <v>1</v>
      </c>
      <c r="AH144" t="n">
        <v>2</v>
      </c>
      <c r="AI144" t="n">
        <v>2</v>
      </c>
      <c r="AJ144" t="n">
        <v>1</v>
      </c>
      <c r="AK144" t="n">
        <v>1</v>
      </c>
      <c r="AL144" t="n">
        <v>0</v>
      </c>
      <c r="AM144" t="n">
        <v>0</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HYPERLINK("https://creighton-primo.hosted.exlibrisgroup.com/primo-explore/search?tab=default_tab&amp;search_scope=EVERYTHING&amp;vid=01CRU&amp;lang=en_US&amp;offset=0&amp;query=any,contains,991004034509702656","Catalog Record")</f>
        <v/>
      </c>
      <c r="AT144">
        <f>HYPERLINK("http://www.worldcat.org/oclc/4180","WorldCat Record")</f>
        <v/>
      </c>
      <c r="AU144" t="inlineStr">
        <is>
          <t>10383611114:eng</t>
        </is>
      </c>
      <c r="AV144" t="inlineStr">
        <is>
          <t>4180</t>
        </is>
      </c>
      <c r="AW144" t="inlineStr">
        <is>
          <t>991004034509702656</t>
        </is>
      </c>
      <c r="AX144" t="inlineStr">
        <is>
          <t>991004034509702656</t>
        </is>
      </c>
      <c r="AY144" t="inlineStr">
        <is>
          <t>2266175390002656</t>
        </is>
      </c>
      <c r="AZ144" t="inlineStr">
        <is>
          <t>BOOK</t>
        </is>
      </c>
      <c r="BC144" t="inlineStr">
        <is>
          <t>32285004688247</t>
        </is>
      </c>
      <c r="BD144" t="inlineStr">
        <is>
          <t>893788199</t>
        </is>
      </c>
    </row>
    <row r="145">
      <c r="A145" t="inlineStr">
        <is>
          <t>No</t>
        </is>
      </c>
      <c r="B145" t="inlineStr">
        <is>
          <t>NB623.C3 S45 1983b</t>
        </is>
      </c>
      <c r="C145" t="inlineStr">
        <is>
          <t>0                      NB 0623000C  3                  S  45          1983b</t>
        </is>
      </c>
      <c r="D145" t="inlineStr">
        <is>
          <t>The autobiography of Benvenuto Cellini / edited and abridged by Charles Hope and Alessandro Nova ; from the translation by John Addington Symonds.</t>
        </is>
      </c>
      <c r="F145" t="inlineStr">
        <is>
          <t>No</t>
        </is>
      </c>
      <c r="G145" t="inlineStr">
        <is>
          <t>1</t>
        </is>
      </c>
      <c r="H145" t="inlineStr">
        <is>
          <t>No</t>
        </is>
      </c>
      <c r="I145" t="inlineStr">
        <is>
          <t>Yes</t>
        </is>
      </c>
      <c r="J145" t="inlineStr">
        <is>
          <t>0</t>
        </is>
      </c>
      <c r="K145" t="inlineStr">
        <is>
          <t>Cellini, Benvenuto, 1500-1571.</t>
        </is>
      </c>
      <c r="L145" t="inlineStr">
        <is>
          <t>New York : St. Martin's Press, c1983.</t>
        </is>
      </c>
      <c r="M145" t="inlineStr">
        <is>
          <t>1983</t>
        </is>
      </c>
      <c r="N145" t="inlineStr">
        <is>
          <t>1st U.S. ed.</t>
        </is>
      </c>
      <c r="O145" t="inlineStr">
        <is>
          <t>eng</t>
        </is>
      </c>
      <c r="P145" t="inlineStr">
        <is>
          <t>nyu</t>
        </is>
      </c>
      <c r="R145" t="inlineStr">
        <is>
          <t xml:space="preserve">NB </t>
        </is>
      </c>
      <c r="S145" t="n">
        <v>2</v>
      </c>
      <c r="T145" t="n">
        <v>2</v>
      </c>
      <c r="U145" t="inlineStr">
        <is>
          <t>2009-11-24</t>
        </is>
      </c>
      <c r="V145" t="inlineStr">
        <is>
          <t>2009-11-24</t>
        </is>
      </c>
      <c r="W145" t="inlineStr">
        <is>
          <t>1992-05-26</t>
        </is>
      </c>
      <c r="X145" t="inlineStr">
        <is>
          <t>1992-05-26</t>
        </is>
      </c>
      <c r="Y145" t="n">
        <v>244</v>
      </c>
      <c r="Z145" t="n">
        <v>228</v>
      </c>
      <c r="AA145" t="n">
        <v>3562</v>
      </c>
      <c r="AB145" t="n">
        <v>2</v>
      </c>
      <c r="AC145" t="n">
        <v>35</v>
      </c>
      <c r="AD145" t="n">
        <v>8</v>
      </c>
      <c r="AE145" t="n">
        <v>72</v>
      </c>
      <c r="AF145" t="n">
        <v>3</v>
      </c>
      <c r="AG145" t="n">
        <v>29</v>
      </c>
      <c r="AH145" t="n">
        <v>4</v>
      </c>
      <c r="AI145" t="n">
        <v>11</v>
      </c>
      <c r="AJ145" t="n">
        <v>5</v>
      </c>
      <c r="AK145" t="n">
        <v>28</v>
      </c>
      <c r="AL145" t="n">
        <v>1</v>
      </c>
      <c r="AM145" t="n">
        <v>18</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HYPERLINK("https://creighton-primo.hosted.exlibrisgroup.com/primo-explore/search?tab=default_tab&amp;search_scope=EVERYTHING&amp;vid=01CRU&amp;lang=en_US&amp;offset=0&amp;query=any,contains,991000514729702656","Catalog Record")</f>
        <v/>
      </c>
      <c r="AT145">
        <f>HYPERLINK("http://www.worldcat.org/oclc/11272992","WorldCat Record")</f>
        <v/>
      </c>
      <c r="AU145" t="inlineStr">
        <is>
          <t>4095492522:eng</t>
        </is>
      </c>
      <c r="AV145" t="inlineStr">
        <is>
          <t>11272992</t>
        </is>
      </c>
      <c r="AW145" t="inlineStr">
        <is>
          <t>991000514729702656</t>
        </is>
      </c>
      <c r="AX145" t="inlineStr">
        <is>
          <t>991000514729702656</t>
        </is>
      </c>
      <c r="AY145" t="inlineStr">
        <is>
          <t>2272214090002656</t>
        </is>
      </c>
      <c r="AZ145" t="inlineStr">
        <is>
          <t>BOOK</t>
        </is>
      </c>
      <c r="BB145" t="inlineStr">
        <is>
          <t>9780312061401</t>
        </is>
      </c>
      <c r="BC145" t="inlineStr">
        <is>
          <t>32285001122968</t>
        </is>
      </c>
      <c r="BD145" t="inlineStr">
        <is>
          <t>893595611</t>
        </is>
      </c>
    </row>
    <row r="146">
      <c r="A146" t="inlineStr">
        <is>
          <t>No</t>
        </is>
      </c>
      <c r="B146" t="inlineStr">
        <is>
          <t>NB623.D7 J3 1963</t>
        </is>
      </c>
      <c r="C146" t="inlineStr">
        <is>
          <t>0                      NB 0623000D  7                  J  3           1963</t>
        </is>
      </c>
      <c r="D146" t="inlineStr">
        <is>
          <t>The sculpture of Donatello / by H.W. Janson. Incorporating the notes and photos. of Jenö Lányi.</t>
        </is>
      </c>
      <c r="F146" t="inlineStr">
        <is>
          <t>No</t>
        </is>
      </c>
      <c r="G146" t="inlineStr">
        <is>
          <t>1</t>
        </is>
      </c>
      <c r="H146" t="inlineStr">
        <is>
          <t>No</t>
        </is>
      </c>
      <c r="I146" t="inlineStr">
        <is>
          <t>No</t>
        </is>
      </c>
      <c r="J146" t="inlineStr">
        <is>
          <t>0</t>
        </is>
      </c>
      <c r="K146" t="inlineStr">
        <is>
          <t>Janson, H. W. (Horst Woldemar), 1913-1982.</t>
        </is>
      </c>
      <c r="L146" t="inlineStr">
        <is>
          <t>Princeton, N.J. : Princeton University Press, 1963.</t>
        </is>
      </c>
      <c r="M146" t="inlineStr">
        <is>
          <t>1963</t>
        </is>
      </c>
      <c r="O146" t="inlineStr">
        <is>
          <t>eng</t>
        </is>
      </c>
      <c r="P146" t="inlineStr">
        <is>
          <t>nju</t>
        </is>
      </c>
      <c r="R146" t="inlineStr">
        <is>
          <t xml:space="preserve">NB </t>
        </is>
      </c>
      <c r="S146" t="n">
        <v>5</v>
      </c>
      <c r="T146" t="n">
        <v>5</v>
      </c>
      <c r="U146" t="inlineStr">
        <is>
          <t>2010-10-03</t>
        </is>
      </c>
      <c r="V146" t="inlineStr">
        <is>
          <t>2010-10-03</t>
        </is>
      </c>
      <c r="W146" t="inlineStr">
        <is>
          <t>1999-04-05</t>
        </is>
      </c>
      <c r="X146" t="inlineStr">
        <is>
          <t>1999-04-05</t>
        </is>
      </c>
      <c r="Y146" t="n">
        <v>743</v>
      </c>
      <c r="Z146" t="n">
        <v>638</v>
      </c>
      <c r="AA146" t="n">
        <v>644</v>
      </c>
      <c r="AB146" t="n">
        <v>4</v>
      </c>
      <c r="AC146" t="n">
        <v>4</v>
      </c>
      <c r="AD146" t="n">
        <v>27</v>
      </c>
      <c r="AE146" t="n">
        <v>27</v>
      </c>
      <c r="AF146" t="n">
        <v>14</v>
      </c>
      <c r="AG146" t="n">
        <v>14</v>
      </c>
      <c r="AH146" t="n">
        <v>4</v>
      </c>
      <c r="AI146" t="n">
        <v>4</v>
      </c>
      <c r="AJ146" t="n">
        <v>13</v>
      </c>
      <c r="AK146" t="n">
        <v>13</v>
      </c>
      <c r="AL146" t="n">
        <v>3</v>
      </c>
      <c r="AM146" t="n">
        <v>3</v>
      </c>
      <c r="AN146" t="n">
        <v>0</v>
      </c>
      <c r="AO146" t="n">
        <v>0</v>
      </c>
      <c r="AP146" t="inlineStr">
        <is>
          <t>No</t>
        </is>
      </c>
      <c r="AQ146" t="inlineStr">
        <is>
          <t>No</t>
        </is>
      </c>
      <c r="AR146">
        <f>HYPERLINK("http://catalog.hathitrust.org/Record/001467791","HathiTrust Record")</f>
        <v/>
      </c>
      <c r="AS146">
        <f>HYPERLINK("https://creighton-primo.hosted.exlibrisgroup.com/primo-explore/search?tab=default_tab&amp;search_scope=EVERYTHING&amp;vid=01CRU&amp;lang=en_US&amp;offset=0&amp;query=any,contains,991002911679702656","Catalog Record")</f>
        <v/>
      </c>
      <c r="AT146">
        <f>HYPERLINK("http://www.worldcat.org/oclc/522251","WorldCat Record")</f>
        <v/>
      </c>
      <c r="AU146" t="inlineStr">
        <is>
          <t>138876769:eng</t>
        </is>
      </c>
      <c r="AV146" t="inlineStr">
        <is>
          <t>522251</t>
        </is>
      </c>
      <c r="AW146" t="inlineStr">
        <is>
          <t>991002911679702656</t>
        </is>
      </c>
      <c r="AX146" t="inlineStr">
        <is>
          <t>991002911679702656</t>
        </is>
      </c>
      <c r="AY146" t="inlineStr">
        <is>
          <t>2260138450002656</t>
        </is>
      </c>
      <c r="AZ146" t="inlineStr">
        <is>
          <t>BOOK</t>
        </is>
      </c>
      <c r="BC146" t="inlineStr">
        <is>
          <t>32285003548848</t>
        </is>
      </c>
      <c r="BD146" t="inlineStr">
        <is>
          <t>893317422</t>
        </is>
      </c>
    </row>
    <row r="147">
      <c r="A147" t="inlineStr">
        <is>
          <t>No</t>
        </is>
      </c>
      <c r="B147" t="inlineStr">
        <is>
          <t>NB623.D7 P59213 1993</t>
        </is>
      </c>
      <c r="C147" t="inlineStr">
        <is>
          <t>0                      NB 0623000D  7                  P  59213       1993</t>
        </is>
      </c>
      <c r="D147" t="inlineStr">
        <is>
          <t>Donatello and his world : sculpture of the Italian Renaissance / Joachim Poeschke ; photographs by Albert Hirmer and Irmgard Ernstmeier-Hirmer ; translated from the German by Russell Stockman.</t>
        </is>
      </c>
      <c r="F147" t="inlineStr">
        <is>
          <t>No</t>
        </is>
      </c>
      <c r="G147" t="inlineStr">
        <is>
          <t>1</t>
        </is>
      </c>
      <c r="H147" t="inlineStr">
        <is>
          <t>No</t>
        </is>
      </c>
      <c r="I147" t="inlineStr">
        <is>
          <t>No</t>
        </is>
      </c>
      <c r="J147" t="inlineStr">
        <is>
          <t>0</t>
        </is>
      </c>
      <c r="K147" t="inlineStr">
        <is>
          <t>Poeschke, Joachim.</t>
        </is>
      </c>
      <c r="L147" t="inlineStr">
        <is>
          <t>New York : H.N. Abrams, 1993.</t>
        </is>
      </c>
      <c r="M147" t="inlineStr">
        <is>
          <t>1993</t>
        </is>
      </c>
      <c r="O147" t="inlineStr">
        <is>
          <t>eng</t>
        </is>
      </c>
      <c r="P147" t="inlineStr">
        <is>
          <t>nyu</t>
        </is>
      </c>
      <c r="R147" t="inlineStr">
        <is>
          <t xml:space="preserve">NB </t>
        </is>
      </c>
      <c r="S147" t="n">
        <v>13</v>
      </c>
      <c r="T147" t="n">
        <v>13</v>
      </c>
      <c r="U147" t="inlineStr">
        <is>
          <t>2010-10-03</t>
        </is>
      </c>
      <c r="V147" t="inlineStr">
        <is>
          <t>2010-10-03</t>
        </is>
      </c>
      <c r="W147" t="inlineStr">
        <is>
          <t>1994-05-11</t>
        </is>
      </c>
      <c r="X147" t="inlineStr">
        <is>
          <t>1994-05-11</t>
        </is>
      </c>
      <c r="Y147" t="n">
        <v>795</v>
      </c>
      <c r="Z147" t="n">
        <v>690</v>
      </c>
      <c r="AA147" t="n">
        <v>691</v>
      </c>
      <c r="AB147" t="n">
        <v>8</v>
      </c>
      <c r="AC147" t="n">
        <v>8</v>
      </c>
      <c r="AD147" t="n">
        <v>33</v>
      </c>
      <c r="AE147" t="n">
        <v>33</v>
      </c>
      <c r="AF147" t="n">
        <v>12</v>
      </c>
      <c r="AG147" t="n">
        <v>12</v>
      </c>
      <c r="AH147" t="n">
        <v>8</v>
      </c>
      <c r="AI147" t="n">
        <v>8</v>
      </c>
      <c r="AJ147" t="n">
        <v>17</v>
      </c>
      <c r="AK147" t="n">
        <v>17</v>
      </c>
      <c r="AL147" t="n">
        <v>6</v>
      </c>
      <c r="AM147" t="n">
        <v>6</v>
      </c>
      <c r="AN147" t="n">
        <v>0</v>
      </c>
      <c r="AO147" t="n">
        <v>0</v>
      </c>
      <c r="AP147" t="inlineStr">
        <is>
          <t>No</t>
        </is>
      </c>
      <c r="AQ147" t="inlineStr">
        <is>
          <t>Yes</t>
        </is>
      </c>
      <c r="AR147">
        <f>HYPERLINK("http://catalog.hathitrust.org/Record/002791670","HathiTrust Record")</f>
        <v/>
      </c>
      <c r="AS147">
        <f>HYPERLINK("https://creighton-primo.hosted.exlibrisgroup.com/primo-explore/search?tab=default_tab&amp;search_scope=EVERYTHING&amp;vid=01CRU&amp;lang=en_US&amp;offset=0&amp;query=any,contains,991002102599702656","Catalog Record")</f>
        <v/>
      </c>
      <c r="AT147">
        <f>HYPERLINK("http://www.worldcat.org/oclc/26975229","WorldCat Record")</f>
        <v/>
      </c>
      <c r="AU147" t="inlineStr">
        <is>
          <t>353399:eng</t>
        </is>
      </c>
      <c r="AV147" t="inlineStr">
        <is>
          <t>26975229</t>
        </is>
      </c>
      <c r="AW147" t="inlineStr">
        <is>
          <t>991002102599702656</t>
        </is>
      </c>
      <c r="AX147" t="inlineStr">
        <is>
          <t>991002102599702656</t>
        </is>
      </c>
      <c r="AY147" t="inlineStr">
        <is>
          <t>2256790270002656</t>
        </is>
      </c>
      <c r="AZ147" t="inlineStr">
        <is>
          <t>BOOK</t>
        </is>
      </c>
      <c r="BB147" t="inlineStr">
        <is>
          <t>9780810932111</t>
        </is>
      </c>
      <c r="BC147" t="inlineStr">
        <is>
          <t>32285001895720</t>
        </is>
      </c>
      <c r="BD147" t="inlineStr">
        <is>
          <t>893414826</t>
        </is>
      </c>
    </row>
    <row r="148">
      <c r="A148" t="inlineStr">
        <is>
          <t>No</t>
        </is>
      </c>
      <c r="B148" t="inlineStr">
        <is>
          <t>NB623.G465 A4 1987</t>
        </is>
      </c>
      <c r="C148" t="inlineStr">
        <is>
          <t>0                      NB 0623000G  465                A  4           1987</t>
        </is>
      </c>
      <c r="D148" t="inlineStr">
        <is>
          <t>Giambologna : the complete sculpture / Charles Avery ; principal photographs by David Finn.</t>
        </is>
      </c>
      <c r="F148" t="inlineStr">
        <is>
          <t>No</t>
        </is>
      </c>
      <c r="G148" t="inlineStr">
        <is>
          <t>1</t>
        </is>
      </c>
      <c r="H148" t="inlineStr">
        <is>
          <t>No</t>
        </is>
      </c>
      <c r="I148" t="inlineStr">
        <is>
          <t>No</t>
        </is>
      </c>
      <c r="J148" t="inlineStr">
        <is>
          <t>0</t>
        </is>
      </c>
      <c r="K148" t="inlineStr">
        <is>
          <t>Avery, Charles (Art historian)</t>
        </is>
      </c>
      <c r="L148" t="inlineStr">
        <is>
          <t>Mt. Kisco, N.Y. : Moyer Bell, c1987.</t>
        </is>
      </c>
      <c r="M148" t="inlineStr">
        <is>
          <t>1987</t>
        </is>
      </c>
      <c r="N148" t="inlineStr">
        <is>
          <t>1st ed.</t>
        </is>
      </c>
      <c r="O148" t="inlineStr">
        <is>
          <t>eng</t>
        </is>
      </c>
      <c r="P148" t="inlineStr">
        <is>
          <t>nyu</t>
        </is>
      </c>
      <c r="R148" t="inlineStr">
        <is>
          <t xml:space="preserve">NB </t>
        </is>
      </c>
      <c r="S148" t="n">
        <v>7</v>
      </c>
      <c r="T148" t="n">
        <v>7</v>
      </c>
      <c r="U148" t="inlineStr">
        <is>
          <t>2004-02-14</t>
        </is>
      </c>
      <c r="V148" t="inlineStr">
        <is>
          <t>2004-02-14</t>
        </is>
      </c>
      <c r="W148" t="inlineStr">
        <is>
          <t>1993-05-18</t>
        </is>
      </c>
      <c r="X148" t="inlineStr">
        <is>
          <t>1993-05-18</t>
        </is>
      </c>
      <c r="Y148" t="n">
        <v>315</v>
      </c>
      <c r="Z148" t="n">
        <v>279</v>
      </c>
      <c r="AA148" t="n">
        <v>332</v>
      </c>
      <c r="AB148" t="n">
        <v>2</v>
      </c>
      <c r="AC148" t="n">
        <v>2</v>
      </c>
      <c r="AD148" t="n">
        <v>15</v>
      </c>
      <c r="AE148" t="n">
        <v>15</v>
      </c>
      <c r="AF148" t="n">
        <v>7</v>
      </c>
      <c r="AG148" t="n">
        <v>7</v>
      </c>
      <c r="AH148" t="n">
        <v>5</v>
      </c>
      <c r="AI148" t="n">
        <v>5</v>
      </c>
      <c r="AJ148" t="n">
        <v>6</v>
      </c>
      <c r="AK148" t="n">
        <v>6</v>
      </c>
      <c r="AL148" t="n">
        <v>0</v>
      </c>
      <c r="AM148" t="n">
        <v>0</v>
      </c>
      <c r="AN148" t="n">
        <v>0</v>
      </c>
      <c r="AO148" t="n">
        <v>0</v>
      </c>
      <c r="AP148" t="inlineStr">
        <is>
          <t>No</t>
        </is>
      </c>
      <c r="AQ148" t="inlineStr">
        <is>
          <t>Yes</t>
        </is>
      </c>
      <c r="AR148">
        <f>HYPERLINK("http://catalog.hathitrust.org/Record/101877866","HathiTrust Record")</f>
        <v/>
      </c>
      <c r="AS148">
        <f>HYPERLINK("https://creighton-primo.hosted.exlibrisgroup.com/primo-explore/search?tab=default_tab&amp;search_scope=EVERYTHING&amp;vid=01CRU&amp;lang=en_US&amp;offset=0&amp;query=any,contains,991001073249702656","Catalog Record")</f>
        <v/>
      </c>
      <c r="AT148">
        <f>HYPERLINK("http://www.worldcat.org/oclc/16003595","WorldCat Record")</f>
        <v/>
      </c>
      <c r="AU148" t="inlineStr">
        <is>
          <t>10614497:eng</t>
        </is>
      </c>
      <c r="AV148" t="inlineStr">
        <is>
          <t>16003595</t>
        </is>
      </c>
      <c r="AW148" t="inlineStr">
        <is>
          <t>991001073249702656</t>
        </is>
      </c>
      <c r="AX148" t="inlineStr">
        <is>
          <t>991001073249702656</t>
        </is>
      </c>
      <c r="AY148" t="inlineStr">
        <is>
          <t>2272633760002656</t>
        </is>
      </c>
      <c r="AZ148" t="inlineStr">
        <is>
          <t>BOOK</t>
        </is>
      </c>
      <c r="BB148" t="inlineStr">
        <is>
          <t>9780918825391</t>
        </is>
      </c>
      <c r="BC148" t="inlineStr">
        <is>
          <t>32285001659399</t>
        </is>
      </c>
      <c r="BD148" t="inlineStr">
        <is>
          <t>893696439</t>
        </is>
      </c>
    </row>
    <row r="149">
      <c r="A149" t="inlineStr">
        <is>
          <t>No</t>
        </is>
      </c>
      <c r="B149" t="inlineStr">
        <is>
          <t>NB623.V5 B88 1997</t>
        </is>
      </c>
      <c r="C149" t="inlineStr">
        <is>
          <t>0                      NB 0623000V  5                  B  88          1997</t>
        </is>
      </c>
      <c r="D149" t="inlineStr">
        <is>
          <t>The sculptures of Andrea del Verrocchio / Andrew Butterfield.</t>
        </is>
      </c>
      <c r="F149" t="inlineStr">
        <is>
          <t>No</t>
        </is>
      </c>
      <c r="G149" t="inlineStr">
        <is>
          <t>1</t>
        </is>
      </c>
      <c r="H149" t="inlineStr">
        <is>
          <t>No</t>
        </is>
      </c>
      <c r="I149" t="inlineStr">
        <is>
          <t>No</t>
        </is>
      </c>
      <c r="J149" t="inlineStr">
        <is>
          <t>0</t>
        </is>
      </c>
      <c r="K149" t="inlineStr">
        <is>
          <t>Butterfield, Andrew, 1959-</t>
        </is>
      </c>
      <c r="L149" t="inlineStr">
        <is>
          <t>New Haven : Yale University Press, c1997.</t>
        </is>
      </c>
      <c r="M149" t="inlineStr">
        <is>
          <t>1997</t>
        </is>
      </c>
      <c r="O149" t="inlineStr">
        <is>
          <t>eng</t>
        </is>
      </c>
      <c r="P149" t="inlineStr">
        <is>
          <t>ctu</t>
        </is>
      </c>
      <c r="R149" t="inlineStr">
        <is>
          <t xml:space="preserve">NB </t>
        </is>
      </c>
      <c r="S149" t="n">
        <v>1</v>
      </c>
      <c r="T149" t="n">
        <v>1</v>
      </c>
      <c r="U149" t="inlineStr">
        <is>
          <t>2009-04-14</t>
        </is>
      </c>
      <c r="V149" t="inlineStr">
        <is>
          <t>2009-04-14</t>
        </is>
      </c>
      <c r="W149" t="inlineStr">
        <is>
          <t>2009-04-14</t>
        </is>
      </c>
      <c r="X149" t="inlineStr">
        <is>
          <t>2009-04-14</t>
        </is>
      </c>
      <c r="Y149" t="n">
        <v>685</v>
      </c>
      <c r="Z149" t="n">
        <v>553</v>
      </c>
      <c r="AA149" t="n">
        <v>553</v>
      </c>
      <c r="AB149" t="n">
        <v>3</v>
      </c>
      <c r="AC149" t="n">
        <v>3</v>
      </c>
      <c r="AD149" t="n">
        <v>31</v>
      </c>
      <c r="AE149" t="n">
        <v>31</v>
      </c>
      <c r="AF149" t="n">
        <v>15</v>
      </c>
      <c r="AG149" t="n">
        <v>15</v>
      </c>
      <c r="AH149" t="n">
        <v>6</v>
      </c>
      <c r="AI149" t="n">
        <v>6</v>
      </c>
      <c r="AJ149" t="n">
        <v>15</v>
      </c>
      <c r="AK149" t="n">
        <v>15</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HYPERLINK("https://creighton-primo.hosted.exlibrisgroup.com/primo-explore/search?tab=default_tab&amp;search_scope=EVERYTHING&amp;vid=01CRU&amp;lang=en_US&amp;offset=0&amp;query=any,contains,991005306289702656","Catalog Record")</f>
        <v/>
      </c>
      <c r="AT149">
        <f>HYPERLINK("http://www.worldcat.org/oclc/36776398","WorldCat Record")</f>
        <v/>
      </c>
      <c r="AU149" t="inlineStr">
        <is>
          <t>606084:eng</t>
        </is>
      </c>
      <c r="AV149" t="inlineStr">
        <is>
          <t>36776398</t>
        </is>
      </c>
      <c r="AW149" t="inlineStr">
        <is>
          <t>991005306289702656</t>
        </is>
      </c>
      <c r="AX149" t="inlineStr">
        <is>
          <t>991005306289702656</t>
        </is>
      </c>
      <c r="AY149" t="inlineStr">
        <is>
          <t>2255433800002656</t>
        </is>
      </c>
      <c r="AZ149" t="inlineStr">
        <is>
          <t>BOOK</t>
        </is>
      </c>
      <c r="BB149" t="inlineStr">
        <is>
          <t>9780300071948</t>
        </is>
      </c>
      <c r="BC149" t="inlineStr">
        <is>
          <t>32285005515241</t>
        </is>
      </c>
      <c r="BD149" t="inlineStr">
        <is>
          <t>893533534</t>
        </is>
      </c>
    </row>
    <row r="150">
      <c r="A150" t="inlineStr">
        <is>
          <t>No</t>
        </is>
      </c>
      <c r="B150" t="inlineStr">
        <is>
          <t>NB75 .B7 1983</t>
        </is>
      </c>
      <c r="C150" t="inlineStr">
        <is>
          <t>0                      NB 0075000B  7           1983</t>
        </is>
      </c>
      <c r="D150" t="inlineStr">
        <is>
          <t>Egyptian sculpture / T.G.H. James and W.V. Davies.</t>
        </is>
      </c>
      <c r="F150" t="inlineStr">
        <is>
          <t>No</t>
        </is>
      </c>
      <c r="G150" t="inlineStr">
        <is>
          <t>1</t>
        </is>
      </c>
      <c r="H150" t="inlineStr">
        <is>
          <t>No</t>
        </is>
      </c>
      <c r="I150" t="inlineStr">
        <is>
          <t>No</t>
        </is>
      </c>
      <c r="J150" t="inlineStr">
        <is>
          <t>0</t>
        </is>
      </c>
      <c r="K150" t="inlineStr">
        <is>
          <t>British Museum.</t>
        </is>
      </c>
      <c r="L150" t="inlineStr">
        <is>
          <t>Cambridge, Mass. : Harvard University Press, 1983.</t>
        </is>
      </c>
      <c r="M150" t="inlineStr">
        <is>
          <t>1983</t>
        </is>
      </c>
      <c r="O150" t="inlineStr">
        <is>
          <t>eng</t>
        </is>
      </c>
      <c r="P150" t="inlineStr">
        <is>
          <t>mau</t>
        </is>
      </c>
      <c r="R150" t="inlineStr">
        <is>
          <t xml:space="preserve">NB </t>
        </is>
      </c>
      <c r="S150" t="n">
        <v>5</v>
      </c>
      <c r="T150" t="n">
        <v>5</v>
      </c>
      <c r="U150" t="inlineStr">
        <is>
          <t>1999-03-17</t>
        </is>
      </c>
      <c r="V150" t="inlineStr">
        <is>
          <t>1999-03-17</t>
        </is>
      </c>
      <c r="W150" t="inlineStr">
        <is>
          <t>1992-12-01</t>
        </is>
      </c>
      <c r="X150" t="inlineStr">
        <is>
          <t>1992-12-01</t>
        </is>
      </c>
      <c r="Y150" t="n">
        <v>395</v>
      </c>
      <c r="Z150" t="n">
        <v>341</v>
      </c>
      <c r="AA150" t="n">
        <v>381</v>
      </c>
      <c r="AB150" t="n">
        <v>4</v>
      </c>
      <c r="AC150" t="n">
        <v>4</v>
      </c>
      <c r="AD150" t="n">
        <v>10</v>
      </c>
      <c r="AE150" t="n">
        <v>12</v>
      </c>
      <c r="AF150" t="n">
        <v>4</v>
      </c>
      <c r="AG150" t="n">
        <v>5</v>
      </c>
      <c r="AH150" t="n">
        <v>0</v>
      </c>
      <c r="AI150" t="n">
        <v>0</v>
      </c>
      <c r="AJ150" t="n">
        <v>6</v>
      </c>
      <c r="AK150" t="n">
        <v>7</v>
      </c>
      <c r="AL150" t="n">
        <v>2</v>
      </c>
      <c r="AM150" t="n">
        <v>2</v>
      </c>
      <c r="AN150" t="n">
        <v>0</v>
      </c>
      <c r="AO150" t="n">
        <v>0</v>
      </c>
      <c r="AP150" t="inlineStr">
        <is>
          <t>No</t>
        </is>
      </c>
      <c r="AQ150" t="inlineStr">
        <is>
          <t>Yes</t>
        </is>
      </c>
      <c r="AR150">
        <f>HYPERLINK("http://catalog.hathitrust.org/Record/009919382","HathiTrust Record")</f>
        <v/>
      </c>
      <c r="AS150">
        <f>HYPERLINK("https://creighton-primo.hosted.exlibrisgroup.com/primo-explore/search?tab=default_tab&amp;search_scope=EVERYTHING&amp;vid=01CRU&amp;lang=en_US&amp;offset=0&amp;query=any,contains,991000401079702656","Catalog Record")</f>
        <v/>
      </c>
      <c r="AT150">
        <f>HYPERLINK("http://www.worldcat.org/oclc/10606588","WorldCat Record")</f>
        <v/>
      </c>
      <c r="AU150" t="inlineStr">
        <is>
          <t>102316374:eng</t>
        </is>
      </c>
      <c r="AV150" t="inlineStr">
        <is>
          <t>10606588</t>
        </is>
      </c>
      <c r="AW150" t="inlineStr">
        <is>
          <t>991000401079702656</t>
        </is>
      </c>
      <c r="AX150" t="inlineStr">
        <is>
          <t>991000401079702656</t>
        </is>
      </c>
      <c r="AY150" t="inlineStr">
        <is>
          <t>2260216360002656</t>
        </is>
      </c>
      <c r="AZ150" t="inlineStr">
        <is>
          <t>BOOK</t>
        </is>
      </c>
      <c r="BB150" t="inlineStr">
        <is>
          <t>9780674241602</t>
        </is>
      </c>
      <c r="BC150" t="inlineStr">
        <is>
          <t>32285001411114</t>
        </is>
      </c>
      <c r="BD150" t="inlineStr">
        <is>
          <t>893878001</t>
        </is>
      </c>
    </row>
    <row r="151">
      <c r="A151" t="inlineStr">
        <is>
          <t>No</t>
        </is>
      </c>
      <c r="B151" t="inlineStr">
        <is>
          <t>NB75 .D4</t>
        </is>
      </c>
      <c r="C151" t="inlineStr">
        <is>
          <t>0                      NB 0075000D  4</t>
        </is>
      </c>
      <c r="D151" t="inlineStr">
        <is>
          <t>Ancient Egypt : the new kingdom and the Amarna period / photographed by F.L. Kenett.</t>
        </is>
      </c>
      <c r="F151" t="inlineStr">
        <is>
          <t>No</t>
        </is>
      </c>
      <c r="G151" t="inlineStr">
        <is>
          <t>1</t>
        </is>
      </c>
      <c r="H151" t="inlineStr">
        <is>
          <t>No</t>
        </is>
      </c>
      <c r="I151" t="inlineStr">
        <is>
          <t>No</t>
        </is>
      </c>
      <c r="J151" t="inlineStr">
        <is>
          <t>0</t>
        </is>
      </c>
      <c r="K151" t="inlineStr">
        <is>
          <t>Desroches-Noblecourt, Christiane, 1913-2011.</t>
        </is>
      </c>
      <c r="L151" t="inlineStr">
        <is>
          <t>Greenwich, Conn. : New York Graphic Society, [c1960]</t>
        </is>
      </c>
      <c r="M151" t="inlineStr">
        <is>
          <t>1960</t>
        </is>
      </c>
      <c r="O151" t="inlineStr">
        <is>
          <t>eng</t>
        </is>
      </c>
      <c r="P151" t="inlineStr">
        <is>
          <t>ctu</t>
        </is>
      </c>
      <c r="Q151" t="inlineStr">
        <is>
          <t>The Acanthus history of sculpture</t>
        </is>
      </c>
      <c r="R151" t="inlineStr">
        <is>
          <t xml:space="preserve">NB </t>
        </is>
      </c>
      <c r="S151" t="n">
        <v>7</v>
      </c>
      <c r="T151" t="n">
        <v>7</v>
      </c>
      <c r="U151" t="inlineStr">
        <is>
          <t>2000-10-03</t>
        </is>
      </c>
      <c r="V151" t="inlineStr">
        <is>
          <t>2000-10-03</t>
        </is>
      </c>
      <c r="W151" t="inlineStr">
        <is>
          <t>1993-10-04</t>
        </is>
      </c>
      <c r="X151" t="inlineStr">
        <is>
          <t>1993-10-04</t>
        </is>
      </c>
      <c r="Y151" t="n">
        <v>746</v>
      </c>
      <c r="Z151" t="n">
        <v>710</v>
      </c>
      <c r="AA151" t="n">
        <v>738</v>
      </c>
      <c r="AB151" t="n">
        <v>8</v>
      </c>
      <c r="AC151" t="n">
        <v>8</v>
      </c>
      <c r="AD151" t="n">
        <v>23</v>
      </c>
      <c r="AE151" t="n">
        <v>23</v>
      </c>
      <c r="AF151" t="n">
        <v>9</v>
      </c>
      <c r="AG151" t="n">
        <v>9</v>
      </c>
      <c r="AH151" t="n">
        <v>4</v>
      </c>
      <c r="AI151" t="n">
        <v>4</v>
      </c>
      <c r="AJ151" t="n">
        <v>9</v>
      </c>
      <c r="AK151" t="n">
        <v>9</v>
      </c>
      <c r="AL151" t="n">
        <v>5</v>
      </c>
      <c r="AM151" t="n">
        <v>5</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HYPERLINK("https://creighton-primo.hosted.exlibrisgroup.com/primo-explore/search?tab=default_tab&amp;search_scope=EVERYTHING&amp;vid=01CRU&amp;lang=en_US&amp;offset=0&amp;query=any,contains,991002243139702656","Catalog Record")</f>
        <v/>
      </c>
      <c r="AT151">
        <f>HYPERLINK("http://www.worldcat.org/oclc/297348","WorldCat Record")</f>
        <v/>
      </c>
      <c r="AU151" t="inlineStr">
        <is>
          <t>9566198502:eng</t>
        </is>
      </c>
      <c r="AV151" t="inlineStr">
        <is>
          <t>297348</t>
        </is>
      </c>
      <c r="AW151" t="inlineStr">
        <is>
          <t>991002243139702656</t>
        </is>
      </c>
      <c r="AX151" t="inlineStr">
        <is>
          <t>991002243139702656</t>
        </is>
      </c>
      <c r="AY151" t="inlineStr">
        <is>
          <t>2262899360002656</t>
        </is>
      </c>
      <c r="AZ151" t="inlineStr">
        <is>
          <t>BOOK</t>
        </is>
      </c>
      <c r="BC151" t="inlineStr">
        <is>
          <t>32285001772572</t>
        </is>
      </c>
      <c r="BD151" t="inlineStr">
        <is>
          <t>893427382</t>
        </is>
      </c>
    </row>
    <row r="152">
      <c r="A152" t="inlineStr">
        <is>
          <t>No</t>
        </is>
      </c>
      <c r="B152" t="inlineStr">
        <is>
          <t>NB75 .M8 1970</t>
        </is>
      </c>
      <c r="C152" t="inlineStr">
        <is>
          <t>0                      NB 0075000M  8           1970</t>
        </is>
      </c>
      <c r="D152" t="inlineStr">
        <is>
          <t>Egyptian sculpture / with a pref. by Ernest A. Gardner.</t>
        </is>
      </c>
      <c r="F152" t="inlineStr">
        <is>
          <t>No</t>
        </is>
      </c>
      <c r="G152" t="inlineStr">
        <is>
          <t>1</t>
        </is>
      </c>
      <c r="H152" t="inlineStr">
        <is>
          <t>No</t>
        </is>
      </c>
      <c r="I152" t="inlineStr">
        <is>
          <t>No</t>
        </is>
      </c>
      <c r="J152" t="inlineStr">
        <is>
          <t>0</t>
        </is>
      </c>
      <c r="K152" t="inlineStr">
        <is>
          <t>Murray, Margaret Alice.</t>
        </is>
      </c>
      <c r="L152" t="inlineStr">
        <is>
          <t>Westport, Conn. : Greenwood Press, [1970]</t>
        </is>
      </c>
      <c r="M152" t="inlineStr">
        <is>
          <t>1970</t>
        </is>
      </c>
      <c r="O152" t="inlineStr">
        <is>
          <t>eng</t>
        </is>
      </c>
      <c r="P152" t="inlineStr">
        <is>
          <t>ctu</t>
        </is>
      </c>
      <c r="R152" t="inlineStr">
        <is>
          <t xml:space="preserve">NB </t>
        </is>
      </c>
      <c r="S152" t="n">
        <v>3</v>
      </c>
      <c r="T152" t="n">
        <v>3</v>
      </c>
      <c r="U152" t="inlineStr">
        <is>
          <t>1999-03-17</t>
        </is>
      </c>
      <c r="V152" t="inlineStr">
        <is>
          <t>1999-03-17</t>
        </is>
      </c>
      <c r="W152" t="inlineStr">
        <is>
          <t>1992-12-10</t>
        </is>
      </c>
      <c r="X152" t="inlineStr">
        <is>
          <t>1992-12-10</t>
        </is>
      </c>
      <c r="Y152" t="n">
        <v>295</v>
      </c>
      <c r="Z152" t="n">
        <v>277</v>
      </c>
      <c r="AA152" t="n">
        <v>474</v>
      </c>
      <c r="AB152" t="n">
        <v>2</v>
      </c>
      <c r="AC152" t="n">
        <v>5</v>
      </c>
      <c r="AD152" t="n">
        <v>13</v>
      </c>
      <c r="AE152" t="n">
        <v>17</v>
      </c>
      <c r="AF152" t="n">
        <v>3</v>
      </c>
      <c r="AG152" t="n">
        <v>4</v>
      </c>
      <c r="AH152" t="n">
        <v>8</v>
      </c>
      <c r="AI152" t="n">
        <v>8</v>
      </c>
      <c r="AJ152" t="n">
        <v>6</v>
      </c>
      <c r="AK152" t="n">
        <v>7</v>
      </c>
      <c r="AL152" t="n">
        <v>1</v>
      </c>
      <c r="AM152" t="n">
        <v>3</v>
      </c>
      <c r="AN152" t="n">
        <v>0</v>
      </c>
      <c r="AO152" t="n">
        <v>0</v>
      </c>
      <c r="AP152" t="inlineStr">
        <is>
          <t>No</t>
        </is>
      </c>
      <c r="AQ152" t="inlineStr">
        <is>
          <t>Yes</t>
        </is>
      </c>
      <c r="AR152">
        <f>HYPERLINK("http://catalog.hathitrust.org/Record/004502836","HathiTrust Record")</f>
        <v/>
      </c>
      <c r="AS152">
        <f>HYPERLINK("https://creighton-primo.hosted.exlibrisgroup.com/primo-explore/search?tab=default_tab&amp;search_scope=EVERYTHING&amp;vid=01CRU&amp;lang=en_US&amp;offset=0&amp;query=any,contains,991000650729702656","Catalog Record")</f>
        <v/>
      </c>
      <c r="AT152">
        <f>HYPERLINK("http://www.worldcat.org/oclc/113114","WorldCat Record")</f>
        <v/>
      </c>
      <c r="AU152" t="inlineStr">
        <is>
          <t>500038:eng</t>
        </is>
      </c>
      <c r="AV152" t="inlineStr">
        <is>
          <t>113114</t>
        </is>
      </c>
      <c r="AW152" t="inlineStr">
        <is>
          <t>991000650729702656</t>
        </is>
      </c>
      <c r="AX152" t="inlineStr">
        <is>
          <t>991000650729702656</t>
        </is>
      </c>
      <c r="AY152" t="inlineStr">
        <is>
          <t>2267667550002656</t>
        </is>
      </c>
      <c r="AZ152" t="inlineStr">
        <is>
          <t>BOOK</t>
        </is>
      </c>
      <c r="BB152" t="inlineStr">
        <is>
          <t>9780837142937</t>
        </is>
      </c>
      <c r="BC152" t="inlineStr">
        <is>
          <t>32285001440121</t>
        </is>
      </c>
      <c r="BD152" t="inlineStr">
        <is>
          <t>893589637</t>
        </is>
      </c>
    </row>
    <row r="153">
      <c r="A153" t="inlineStr">
        <is>
          <t>No</t>
        </is>
      </c>
      <c r="B153" t="inlineStr">
        <is>
          <t>NB813.G6 W57</t>
        </is>
      </c>
      <c r="C153" t="inlineStr">
        <is>
          <t>0                      NB 0813000G  6                  W  57</t>
        </is>
      </c>
      <c r="D153" t="inlineStr">
        <is>
          <t>Julio Gonzalez : sculpture in iron / Josephine Withers.</t>
        </is>
      </c>
      <c r="F153" t="inlineStr">
        <is>
          <t>No</t>
        </is>
      </c>
      <c r="G153" t="inlineStr">
        <is>
          <t>1</t>
        </is>
      </c>
      <c r="H153" t="inlineStr">
        <is>
          <t>No</t>
        </is>
      </c>
      <c r="I153" t="inlineStr">
        <is>
          <t>No</t>
        </is>
      </c>
      <c r="J153" t="inlineStr">
        <is>
          <t>0</t>
        </is>
      </c>
      <c r="K153" t="inlineStr">
        <is>
          <t>Withers, Josephine.</t>
        </is>
      </c>
      <c r="L153" t="inlineStr">
        <is>
          <t>New York : New York University Press, c1978.</t>
        </is>
      </c>
      <c r="M153" t="inlineStr">
        <is>
          <t>1978</t>
        </is>
      </c>
      <c r="O153" t="inlineStr">
        <is>
          <t>eng</t>
        </is>
      </c>
      <c r="P153" t="inlineStr">
        <is>
          <t>nyu</t>
        </is>
      </c>
      <c r="R153" t="inlineStr">
        <is>
          <t xml:space="preserve">NB </t>
        </is>
      </c>
      <c r="S153" t="n">
        <v>1</v>
      </c>
      <c r="T153" t="n">
        <v>1</v>
      </c>
      <c r="U153" t="inlineStr">
        <is>
          <t>1993-05-01</t>
        </is>
      </c>
      <c r="V153" t="inlineStr">
        <is>
          <t>1993-05-01</t>
        </is>
      </c>
      <c r="W153" t="inlineStr">
        <is>
          <t>1993-04-12</t>
        </is>
      </c>
      <c r="X153" t="inlineStr">
        <is>
          <t>1993-04-12</t>
        </is>
      </c>
      <c r="Y153" t="n">
        <v>681</v>
      </c>
      <c r="Z153" t="n">
        <v>589</v>
      </c>
      <c r="AA153" t="n">
        <v>593</v>
      </c>
      <c r="AB153" t="n">
        <v>6</v>
      </c>
      <c r="AC153" t="n">
        <v>6</v>
      </c>
      <c r="AD153" t="n">
        <v>19</v>
      </c>
      <c r="AE153" t="n">
        <v>19</v>
      </c>
      <c r="AF153" t="n">
        <v>8</v>
      </c>
      <c r="AG153" t="n">
        <v>8</v>
      </c>
      <c r="AH153" t="n">
        <v>3</v>
      </c>
      <c r="AI153" t="n">
        <v>3</v>
      </c>
      <c r="AJ153" t="n">
        <v>4</v>
      </c>
      <c r="AK153" t="n">
        <v>4</v>
      </c>
      <c r="AL153" t="n">
        <v>5</v>
      </c>
      <c r="AM153" t="n">
        <v>5</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HYPERLINK("https://creighton-primo.hosted.exlibrisgroup.com/primo-explore/search?tab=default_tab&amp;search_scope=EVERYTHING&amp;vid=01CRU&amp;lang=en_US&amp;offset=0&amp;query=any,contains,991004315569702656","Catalog Record")</f>
        <v/>
      </c>
      <c r="AT153">
        <f>HYPERLINK("http://www.worldcat.org/oclc/3003677","WorldCat Record")</f>
        <v/>
      </c>
      <c r="AU153" t="inlineStr">
        <is>
          <t>316486895:eng</t>
        </is>
      </c>
      <c r="AV153" t="inlineStr">
        <is>
          <t>3003677</t>
        </is>
      </c>
      <c r="AW153" t="inlineStr">
        <is>
          <t>991004315569702656</t>
        </is>
      </c>
      <c r="AX153" t="inlineStr">
        <is>
          <t>991004315569702656</t>
        </is>
      </c>
      <c r="AY153" t="inlineStr">
        <is>
          <t>2271011660002656</t>
        </is>
      </c>
      <c r="AZ153" t="inlineStr">
        <is>
          <t>BOOK</t>
        </is>
      </c>
      <c r="BB153" t="inlineStr">
        <is>
          <t>9780814791714</t>
        </is>
      </c>
      <c r="BC153" t="inlineStr">
        <is>
          <t>32285001615755</t>
        </is>
      </c>
      <c r="BD153" t="inlineStr">
        <is>
          <t>893331435</t>
        </is>
      </c>
    </row>
    <row r="154">
      <c r="A154" t="inlineStr">
        <is>
          <t>No</t>
        </is>
      </c>
      <c r="B154" t="inlineStr">
        <is>
          <t>NB85 .C5</t>
        </is>
      </c>
      <c r="C154" t="inlineStr">
        <is>
          <t>0                      NB 0085000C  5</t>
        </is>
      </c>
      <c r="D154" t="inlineStr">
        <is>
          <t>Greek and Roman sculpture in American collections, by George H. Chase.</t>
        </is>
      </c>
      <c r="F154" t="inlineStr">
        <is>
          <t>No</t>
        </is>
      </c>
      <c r="G154" t="inlineStr">
        <is>
          <t>1</t>
        </is>
      </c>
      <c r="H154" t="inlineStr">
        <is>
          <t>No</t>
        </is>
      </c>
      <c r="I154" t="inlineStr">
        <is>
          <t>No</t>
        </is>
      </c>
      <c r="J154" t="inlineStr">
        <is>
          <t>0</t>
        </is>
      </c>
      <c r="K154" t="inlineStr">
        <is>
          <t>Chase, George Henry, 1874-1952.</t>
        </is>
      </c>
      <c r="L154" t="inlineStr">
        <is>
          <t>Cambridge, Harvard University Press, 1924.</t>
        </is>
      </c>
      <c r="M154" t="inlineStr">
        <is>
          <t>1924</t>
        </is>
      </c>
      <c r="O154" t="inlineStr">
        <is>
          <t>eng</t>
        </is>
      </c>
      <c r="P154" t="inlineStr">
        <is>
          <t xml:space="preserve">xx </t>
        </is>
      </c>
      <c r="R154" t="inlineStr">
        <is>
          <t xml:space="preserve">NB </t>
        </is>
      </c>
      <c r="S154" t="n">
        <v>5</v>
      </c>
      <c r="T154" t="n">
        <v>5</v>
      </c>
      <c r="U154" t="inlineStr">
        <is>
          <t>2002-11-08</t>
        </is>
      </c>
      <c r="V154" t="inlineStr">
        <is>
          <t>2002-11-08</t>
        </is>
      </c>
      <c r="W154" t="inlineStr">
        <is>
          <t>1997-07-02</t>
        </is>
      </c>
      <c r="X154" t="inlineStr">
        <is>
          <t>1997-07-02</t>
        </is>
      </c>
      <c r="Y154" t="n">
        <v>325</v>
      </c>
      <c r="Z154" t="n">
        <v>277</v>
      </c>
      <c r="AA154" t="n">
        <v>290</v>
      </c>
      <c r="AB154" t="n">
        <v>2</v>
      </c>
      <c r="AC154" t="n">
        <v>2</v>
      </c>
      <c r="AD154" t="n">
        <v>8</v>
      </c>
      <c r="AE154" t="n">
        <v>8</v>
      </c>
      <c r="AF154" t="n">
        <v>2</v>
      </c>
      <c r="AG154" t="n">
        <v>2</v>
      </c>
      <c r="AH154" t="n">
        <v>3</v>
      </c>
      <c r="AI154" t="n">
        <v>3</v>
      </c>
      <c r="AJ154" t="n">
        <v>4</v>
      </c>
      <c r="AK154" t="n">
        <v>4</v>
      </c>
      <c r="AL154" t="n">
        <v>1</v>
      </c>
      <c r="AM154" t="n">
        <v>1</v>
      </c>
      <c r="AN154" t="n">
        <v>0</v>
      </c>
      <c r="AO154" t="n">
        <v>0</v>
      </c>
      <c r="AP154" t="inlineStr">
        <is>
          <t>Yes</t>
        </is>
      </c>
      <c r="AQ154" t="inlineStr">
        <is>
          <t>No</t>
        </is>
      </c>
      <c r="AR154">
        <f>HYPERLINK("http://catalog.hathitrust.org/Record/001461452","HathiTrust Record")</f>
        <v/>
      </c>
      <c r="AS154">
        <f>HYPERLINK("https://creighton-primo.hosted.exlibrisgroup.com/primo-explore/search?tab=default_tab&amp;search_scope=EVERYTHING&amp;vid=01CRU&amp;lang=en_US&amp;offset=0&amp;query=any,contains,991003451689702656","Catalog Record")</f>
        <v/>
      </c>
      <c r="AT154">
        <f>HYPERLINK("http://www.worldcat.org/oclc/990240","WorldCat Record")</f>
        <v/>
      </c>
      <c r="AU154" t="inlineStr">
        <is>
          <t>1970933:eng</t>
        </is>
      </c>
      <c r="AV154" t="inlineStr">
        <is>
          <t>990240</t>
        </is>
      </c>
      <c r="AW154" t="inlineStr">
        <is>
          <t>991003451689702656</t>
        </is>
      </c>
      <c r="AX154" t="inlineStr">
        <is>
          <t>991003451689702656</t>
        </is>
      </c>
      <c r="AY154" t="inlineStr">
        <is>
          <t>2257414130002656</t>
        </is>
      </c>
      <c r="AZ154" t="inlineStr">
        <is>
          <t>BOOK</t>
        </is>
      </c>
      <c r="BC154" t="inlineStr">
        <is>
          <t>32285002863396</t>
        </is>
      </c>
      <c r="BD154" t="inlineStr">
        <is>
          <t>893617345</t>
        </is>
      </c>
    </row>
    <row r="155">
      <c r="A155" t="inlineStr">
        <is>
          <t>No</t>
        </is>
      </c>
      <c r="B155" t="inlineStr">
        <is>
          <t>NB85 .H3</t>
        </is>
      </c>
      <c r="C155" t="inlineStr">
        <is>
          <t>0                      NB 0085000H  3</t>
        </is>
      </c>
      <c r="D155" t="inlineStr">
        <is>
          <t>Classical sculpture / [by] George M. A. Hanfmann.</t>
        </is>
      </c>
      <c r="F155" t="inlineStr">
        <is>
          <t>No</t>
        </is>
      </c>
      <c r="G155" t="inlineStr">
        <is>
          <t>1</t>
        </is>
      </c>
      <c r="H155" t="inlineStr">
        <is>
          <t>No</t>
        </is>
      </c>
      <c r="I155" t="inlineStr">
        <is>
          <t>No</t>
        </is>
      </c>
      <c r="J155" t="inlineStr">
        <is>
          <t>0</t>
        </is>
      </c>
      <c r="K155" t="inlineStr">
        <is>
          <t>Hanfmann, George M. A. (George Maxim Anossov), 1911-1986.</t>
        </is>
      </c>
      <c r="L155" t="inlineStr">
        <is>
          <t>Greenwich, Conn. : New York Graphic Society, [1967]</t>
        </is>
      </c>
      <c r="M155" t="inlineStr">
        <is>
          <t>1967</t>
        </is>
      </c>
      <c r="O155" t="inlineStr">
        <is>
          <t>eng</t>
        </is>
      </c>
      <c r="P155" t="inlineStr">
        <is>
          <t>ctu</t>
        </is>
      </c>
      <c r="Q155" t="inlineStr">
        <is>
          <t>A History of Western sculpture ; [v. 1]</t>
        </is>
      </c>
      <c r="R155" t="inlineStr">
        <is>
          <t xml:space="preserve">NB </t>
        </is>
      </c>
      <c r="S155" t="n">
        <v>3</v>
      </c>
      <c r="T155" t="n">
        <v>3</v>
      </c>
      <c r="U155" t="inlineStr">
        <is>
          <t>2002-11-08</t>
        </is>
      </c>
      <c r="V155" t="inlineStr">
        <is>
          <t>2002-11-08</t>
        </is>
      </c>
      <c r="W155" t="inlineStr">
        <is>
          <t>1993-05-17</t>
        </is>
      </c>
      <c r="X155" t="inlineStr">
        <is>
          <t>1993-05-17</t>
        </is>
      </c>
      <c r="Y155" t="n">
        <v>1021</v>
      </c>
      <c r="Z155" t="n">
        <v>958</v>
      </c>
      <c r="AA155" t="n">
        <v>1005</v>
      </c>
      <c r="AB155" t="n">
        <v>6</v>
      </c>
      <c r="AC155" t="n">
        <v>7</v>
      </c>
      <c r="AD155" t="n">
        <v>30</v>
      </c>
      <c r="AE155" t="n">
        <v>32</v>
      </c>
      <c r="AF155" t="n">
        <v>13</v>
      </c>
      <c r="AG155" t="n">
        <v>13</v>
      </c>
      <c r="AH155" t="n">
        <v>6</v>
      </c>
      <c r="AI155" t="n">
        <v>7</v>
      </c>
      <c r="AJ155" t="n">
        <v>14</v>
      </c>
      <c r="AK155" t="n">
        <v>16</v>
      </c>
      <c r="AL155" t="n">
        <v>5</v>
      </c>
      <c r="AM155" t="n">
        <v>5</v>
      </c>
      <c r="AN155" t="n">
        <v>0</v>
      </c>
      <c r="AO155" t="n">
        <v>0</v>
      </c>
      <c r="AP155" t="inlineStr">
        <is>
          <t>No</t>
        </is>
      </c>
      <c r="AQ155" t="inlineStr">
        <is>
          <t>Yes</t>
        </is>
      </c>
      <c r="AR155">
        <f>HYPERLINK("http://catalog.hathitrust.org/Record/001461455","HathiTrust Record")</f>
        <v/>
      </c>
      <c r="AS155">
        <f>HYPERLINK("https://creighton-primo.hosted.exlibrisgroup.com/primo-explore/search?tab=default_tab&amp;search_scope=EVERYTHING&amp;vid=01CRU&amp;lang=en_US&amp;offset=0&amp;query=any,contains,991002141379702656","Catalog Record")</f>
        <v/>
      </c>
      <c r="AT155">
        <f>HYPERLINK("http://www.worldcat.org/oclc/270457","WorldCat Record")</f>
        <v/>
      </c>
      <c r="AU155" t="inlineStr">
        <is>
          <t>139087283:eng</t>
        </is>
      </c>
      <c r="AV155" t="inlineStr">
        <is>
          <t>270457</t>
        </is>
      </c>
      <c r="AW155" t="inlineStr">
        <is>
          <t>991002141379702656</t>
        </is>
      </c>
      <c r="AX155" t="inlineStr">
        <is>
          <t>991002141379702656</t>
        </is>
      </c>
      <c r="AY155" t="inlineStr">
        <is>
          <t>2263787200002656</t>
        </is>
      </c>
      <c r="AZ155" t="inlineStr">
        <is>
          <t>BOOK</t>
        </is>
      </c>
      <c r="BC155" t="inlineStr">
        <is>
          <t>32285001658763</t>
        </is>
      </c>
      <c r="BD155" t="inlineStr">
        <is>
          <t>893250862</t>
        </is>
      </c>
    </row>
    <row r="156">
      <c r="A156" t="inlineStr">
        <is>
          <t>No</t>
        </is>
      </c>
      <c r="B156" t="inlineStr">
        <is>
          <t>NB90 .B63 1985b</t>
        </is>
      </c>
      <c r="C156" t="inlineStr">
        <is>
          <t>0                      NB 0090000B  63          1985b</t>
        </is>
      </c>
      <c r="D156" t="inlineStr">
        <is>
          <t>Greek sculpture : the classical period : a handbook / John Boardman.</t>
        </is>
      </c>
      <c r="F156" t="inlineStr">
        <is>
          <t>No</t>
        </is>
      </c>
      <c r="G156" t="inlineStr">
        <is>
          <t>1</t>
        </is>
      </c>
      <c r="H156" t="inlineStr">
        <is>
          <t>No</t>
        </is>
      </c>
      <c r="I156" t="inlineStr">
        <is>
          <t>No</t>
        </is>
      </c>
      <c r="J156" t="inlineStr">
        <is>
          <t>0</t>
        </is>
      </c>
      <c r="K156" t="inlineStr">
        <is>
          <t>Boardman, John, 1927-</t>
        </is>
      </c>
      <c r="L156" t="inlineStr">
        <is>
          <t>New York, N.Y. : Thames and Hudson, 1985.</t>
        </is>
      </c>
      <c r="M156" t="inlineStr">
        <is>
          <t>1985</t>
        </is>
      </c>
      <c r="O156" t="inlineStr">
        <is>
          <t>eng</t>
        </is>
      </c>
      <c r="P156" t="inlineStr">
        <is>
          <t>nyu</t>
        </is>
      </c>
      <c r="Q156" t="inlineStr">
        <is>
          <t>World of art</t>
        </is>
      </c>
      <c r="R156" t="inlineStr">
        <is>
          <t xml:space="preserve">NB </t>
        </is>
      </c>
      <c r="S156" t="n">
        <v>16</v>
      </c>
      <c r="T156" t="n">
        <v>16</v>
      </c>
      <c r="U156" t="inlineStr">
        <is>
          <t>2010-04-13</t>
        </is>
      </c>
      <c r="V156" t="inlineStr">
        <is>
          <t>2010-04-13</t>
        </is>
      </c>
      <c r="W156" t="inlineStr">
        <is>
          <t>1993-05-17</t>
        </is>
      </c>
      <c r="X156" t="inlineStr">
        <is>
          <t>1993-05-17</t>
        </is>
      </c>
      <c r="Y156" t="n">
        <v>637</v>
      </c>
      <c r="Z156" t="n">
        <v>480</v>
      </c>
      <c r="AA156" t="n">
        <v>668</v>
      </c>
      <c r="AB156" t="n">
        <v>4</v>
      </c>
      <c r="AC156" t="n">
        <v>5</v>
      </c>
      <c r="AD156" t="n">
        <v>22</v>
      </c>
      <c r="AE156" t="n">
        <v>32</v>
      </c>
      <c r="AF156" t="n">
        <v>9</v>
      </c>
      <c r="AG156" t="n">
        <v>15</v>
      </c>
      <c r="AH156" t="n">
        <v>5</v>
      </c>
      <c r="AI156" t="n">
        <v>5</v>
      </c>
      <c r="AJ156" t="n">
        <v>11</v>
      </c>
      <c r="AK156" t="n">
        <v>16</v>
      </c>
      <c r="AL156" t="n">
        <v>3</v>
      </c>
      <c r="AM156" t="n">
        <v>4</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HYPERLINK("https://creighton-primo.hosted.exlibrisgroup.com/primo-explore/search?tab=default_tab&amp;search_scope=EVERYTHING&amp;vid=01CRU&amp;lang=en_US&amp;offset=0&amp;query=any,contains,991000734899702656","Catalog Record")</f>
        <v/>
      </c>
      <c r="AT156">
        <f>HYPERLINK("http://www.worldcat.org/oclc/12761161","WorldCat Record")</f>
        <v/>
      </c>
      <c r="AU156" t="inlineStr">
        <is>
          <t>3943662259:eng</t>
        </is>
      </c>
      <c r="AV156" t="inlineStr">
        <is>
          <t>12761161</t>
        </is>
      </c>
      <c r="AW156" t="inlineStr">
        <is>
          <t>991000734899702656</t>
        </is>
      </c>
      <c r="AX156" t="inlineStr">
        <is>
          <t>991000734899702656</t>
        </is>
      </c>
      <c r="AY156" t="inlineStr">
        <is>
          <t>2255008400002656</t>
        </is>
      </c>
      <c r="AZ156" t="inlineStr">
        <is>
          <t>BOOK</t>
        </is>
      </c>
      <c r="BB156" t="inlineStr">
        <is>
          <t>9780500201985</t>
        </is>
      </c>
      <c r="BC156" t="inlineStr">
        <is>
          <t>32285001658797</t>
        </is>
      </c>
      <c r="BD156" t="inlineStr">
        <is>
          <t>893903142</t>
        </is>
      </c>
    </row>
    <row r="157">
      <c r="A157" t="inlineStr">
        <is>
          <t>No</t>
        </is>
      </c>
      <c r="B157" t="inlineStr">
        <is>
          <t>NB90 .B8213</t>
        </is>
      </c>
      <c r="C157" t="inlineStr">
        <is>
          <t>0                      NB 0090000B  8213</t>
        </is>
      </c>
      <c r="D157" t="inlineStr">
        <is>
          <t>On the meaning of Greek statues / by Ernst Buschor ; translated by J. L. Benson.</t>
        </is>
      </c>
      <c r="F157" t="inlineStr">
        <is>
          <t>No</t>
        </is>
      </c>
      <c r="G157" t="inlineStr">
        <is>
          <t>1</t>
        </is>
      </c>
      <c r="H157" t="inlineStr">
        <is>
          <t>No</t>
        </is>
      </c>
      <c r="I157" t="inlineStr">
        <is>
          <t>No</t>
        </is>
      </c>
      <c r="J157" t="inlineStr">
        <is>
          <t>0</t>
        </is>
      </c>
      <c r="K157" t="inlineStr">
        <is>
          <t>Buschor, Ernst, 1886-1961.</t>
        </is>
      </c>
      <c r="L157" t="inlineStr">
        <is>
          <t>Amherst : University of Massachusetts Press, 1980.</t>
        </is>
      </c>
      <c r="M157" t="inlineStr">
        <is>
          <t>1980</t>
        </is>
      </c>
      <c r="O157" t="inlineStr">
        <is>
          <t>eng</t>
        </is>
      </c>
      <c r="P157" t="inlineStr">
        <is>
          <t>mau</t>
        </is>
      </c>
      <c r="R157" t="inlineStr">
        <is>
          <t xml:space="preserve">NB </t>
        </is>
      </c>
      <c r="S157" t="n">
        <v>5</v>
      </c>
      <c r="T157" t="n">
        <v>5</v>
      </c>
      <c r="U157" t="inlineStr">
        <is>
          <t>1998-10-12</t>
        </is>
      </c>
      <c r="V157" t="inlineStr">
        <is>
          <t>1998-10-12</t>
        </is>
      </c>
      <c r="W157" t="inlineStr">
        <is>
          <t>1993-05-17</t>
        </is>
      </c>
      <c r="X157" t="inlineStr">
        <is>
          <t>1993-05-17</t>
        </is>
      </c>
      <c r="Y157" t="n">
        <v>512</v>
      </c>
      <c r="Z157" t="n">
        <v>409</v>
      </c>
      <c r="AA157" t="n">
        <v>417</v>
      </c>
      <c r="AB157" t="n">
        <v>4</v>
      </c>
      <c r="AC157" t="n">
        <v>4</v>
      </c>
      <c r="AD157" t="n">
        <v>25</v>
      </c>
      <c r="AE157" t="n">
        <v>25</v>
      </c>
      <c r="AF157" t="n">
        <v>10</v>
      </c>
      <c r="AG157" t="n">
        <v>10</v>
      </c>
      <c r="AH157" t="n">
        <v>6</v>
      </c>
      <c r="AI157" t="n">
        <v>6</v>
      </c>
      <c r="AJ157" t="n">
        <v>13</v>
      </c>
      <c r="AK157" t="n">
        <v>13</v>
      </c>
      <c r="AL157" t="n">
        <v>3</v>
      </c>
      <c r="AM157" t="n">
        <v>3</v>
      </c>
      <c r="AN157" t="n">
        <v>0</v>
      </c>
      <c r="AO157" t="n">
        <v>0</v>
      </c>
      <c r="AP157" t="inlineStr">
        <is>
          <t>No</t>
        </is>
      </c>
      <c r="AQ157" t="inlineStr">
        <is>
          <t>Yes</t>
        </is>
      </c>
      <c r="AR157">
        <f>HYPERLINK("http://catalog.hathitrust.org/Record/000694798","HathiTrust Record")</f>
        <v/>
      </c>
      <c r="AS157">
        <f>HYPERLINK("https://creighton-primo.hosted.exlibrisgroup.com/primo-explore/search?tab=default_tab&amp;search_scope=EVERYTHING&amp;vid=01CRU&amp;lang=en_US&amp;offset=0&amp;query=any,contains,991004779359702656","Catalog Record")</f>
        <v/>
      </c>
      <c r="AT157">
        <f>HYPERLINK("http://www.worldcat.org/oclc/5102084","WorldCat Record")</f>
        <v/>
      </c>
      <c r="AU157" t="inlineStr">
        <is>
          <t>119099962:eng</t>
        </is>
      </c>
      <c r="AV157" t="inlineStr">
        <is>
          <t>5102084</t>
        </is>
      </c>
      <c r="AW157" t="inlineStr">
        <is>
          <t>991004779359702656</t>
        </is>
      </c>
      <c r="AX157" t="inlineStr">
        <is>
          <t>991004779359702656</t>
        </is>
      </c>
      <c r="AY157" t="inlineStr">
        <is>
          <t>2269166180002656</t>
        </is>
      </c>
      <c r="AZ157" t="inlineStr">
        <is>
          <t>BOOK</t>
        </is>
      </c>
      <c r="BB157" t="inlineStr">
        <is>
          <t>9780870232794</t>
        </is>
      </c>
      <c r="BC157" t="inlineStr">
        <is>
          <t>32285001658805</t>
        </is>
      </c>
      <c r="BD157" t="inlineStr">
        <is>
          <t>893532790</t>
        </is>
      </c>
    </row>
    <row r="158">
      <c r="A158" t="inlineStr">
        <is>
          <t>No</t>
        </is>
      </c>
      <c r="B158" t="inlineStr">
        <is>
          <t>NB90 .F93 1964</t>
        </is>
      </c>
      <c r="C158" t="inlineStr">
        <is>
          <t>0                      NB 0090000F  93          1964</t>
        </is>
      </c>
      <c r="D158" t="inlineStr">
        <is>
          <t>Masterpieces of Greek sculpture.</t>
        </is>
      </c>
      <c r="F158" t="inlineStr">
        <is>
          <t>No</t>
        </is>
      </c>
      <c r="G158" t="inlineStr">
        <is>
          <t>1</t>
        </is>
      </c>
      <c r="H158" t="inlineStr">
        <is>
          <t>No</t>
        </is>
      </c>
      <c r="I158" t="inlineStr">
        <is>
          <t>No</t>
        </is>
      </c>
      <c r="J158" t="inlineStr">
        <is>
          <t>0</t>
        </is>
      </c>
      <c r="K158" t="inlineStr">
        <is>
          <t>Furtwängler, Adolf, 1853-1907.</t>
        </is>
      </c>
      <c r="L158" t="inlineStr">
        <is>
          <t>Chicago, Argonaut Publishers, 1964.</t>
        </is>
      </c>
      <c r="M158" t="inlineStr">
        <is>
          <t>1964</t>
        </is>
      </c>
      <c r="N158" t="inlineStr">
        <is>
          <t>[1st American] new and enl. ed.</t>
        </is>
      </c>
      <c r="O158" t="inlineStr">
        <is>
          <t>eng</t>
        </is>
      </c>
      <c r="P158" t="inlineStr">
        <is>
          <t xml:space="preserve">xx </t>
        </is>
      </c>
      <c r="R158" t="inlineStr">
        <is>
          <t xml:space="preserve">NB </t>
        </is>
      </c>
      <c r="S158" t="n">
        <v>6</v>
      </c>
      <c r="T158" t="n">
        <v>6</v>
      </c>
      <c r="U158" t="inlineStr">
        <is>
          <t>2003-11-23</t>
        </is>
      </c>
      <c r="V158" t="inlineStr">
        <is>
          <t>2003-11-23</t>
        </is>
      </c>
      <c r="W158" t="inlineStr">
        <is>
          <t>1997-07-02</t>
        </is>
      </c>
      <c r="X158" t="inlineStr">
        <is>
          <t>1997-07-02</t>
        </is>
      </c>
      <c r="Y158" t="n">
        <v>582</v>
      </c>
      <c r="Z158" t="n">
        <v>554</v>
      </c>
      <c r="AA158" t="n">
        <v>724</v>
      </c>
      <c r="AB158" t="n">
        <v>6</v>
      </c>
      <c r="AC158" t="n">
        <v>6</v>
      </c>
      <c r="AD158" t="n">
        <v>26</v>
      </c>
      <c r="AE158" t="n">
        <v>29</v>
      </c>
      <c r="AF158" t="n">
        <v>11</v>
      </c>
      <c r="AG158" t="n">
        <v>11</v>
      </c>
      <c r="AH158" t="n">
        <v>4</v>
      </c>
      <c r="AI158" t="n">
        <v>5</v>
      </c>
      <c r="AJ158" t="n">
        <v>12</v>
      </c>
      <c r="AK158" t="n">
        <v>15</v>
      </c>
      <c r="AL158" t="n">
        <v>5</v>
      </c>
      <c r="AM158" t="n">
        <v>5</v>
      </c>
      <c r="AN158" t="n">
        <v>0</v>
      </c>
      <c r="AO158" t="n">
        <v>0</v>
      </c>
      <c r="AP158" t="inlineStr">
        <is>
          <t>No</t>
        </is>
      </c>
      <c r="AQ158" t="inlineStr">
        <is>
          <t>Yes</t>
        </is>
      </c>
      <c r="AR158">
        <f>HYPERLINK("http://catalog.hathitrust.org/Record/000429723","HathiTrust Record")</f>
        <v/>
      </c>
      <c r="AS158">
        <f>HYPERLINK("https://creighton-primo.hosted.exlibrisgroup.com/primo-explore/search?tab=default_tab&amp;search_scope=EVERYTHING&amp;vid=01CRU&amp;lang=en_US&amp;offset=0&amp;query=any,contains,991002895329702656","Catalog Record")</f>
        <v/>
      </c>
      <c r="AT158">
        <f>HYPERLINK("http://www.worldcat.org/oclc/513937","WorldCat Record")</f>
        <v/>
      </c>
      <c r="AU158" t="inlineStr">
        <is>
          <t>1427775:eng</t>
        </is>
      </c>
      <c r="AV158" t="inlineStr">
        <is>
          <t>513937</t>
        </is>
      </c>
      <c r="AW158" t="inlineStr">
        <is>
          <t>991002895329702656</t>
        </is>
      </c>
      <c r="AX158" t="inlineStr">
        <is>
          <t>991002895329702656</t>
        </is>
      </c>
      <c r="AY158" t="inlineStr">
        <is>
          <t>2262442790002656</t>
        </is>
      </c>
      <c r="AZ158" t="inlineStr">
        <is>
          <t>BOOK</t>
        </is>
      </c>
      <c r="BC158" t="inlineStr">
        <is>
          <t>32285002863412</t>
        </is>
      </c>
      <c r="BD158" t="inlineStr">
        <is>
          <t>893598030</t>
        </is>
      </c>
    </row>
    <row r="159">
      <c r="A159" t="inlineStr">
        <is>
          <t>No</t>
        </is>
      </c>
      <c r="B159" t="inlineStr">
        <is>
          <t>NB91.A7 C6</t>
        </is>
      </c>
      <c r="C159" t="inlineStr">
        <is>
          <t>0                      NB 0091000A  7                  C  6</t>
        </is>
      </c>
      <c r="D159" t="inlineStr">
        <is>
          <t>The sculpture of the Parthenon.</t>
        </is>
      </c>
      <c r="F159" t="inlineStr">
        <is>
          <t>No</t>
        </is>
      </c>
      <c r="G159" t="inlineStr">
        <is>
          <t>1</t>
        </is>
      </c>
      <c r="H159" t="inlineStr">
        <is>
          <t>No</t>
        </is>
      </c>
      <c r="I159" t="inlineStr">
        <is>
          <t>No</t>
        </is>
      </c>
      <c r="J159" t="inlineStr">
        <is>
          <t>0</t>
        </is>
      </c>
      <c r="K159" t="inlineStr">
        <is>
          <t>Corbett, P. E. (Peter Edgar)</t>
        </is>
      </c>
      <c r="L159" t="inlineStr">
        <is>
          <t>[Harmondsworth, Middlesex] Penguin Books [1959]</t>
        </is>
      </c>
      <c r="M159" t="inlineStr">
        <is>
          <t>1959</t>
        </is>
      </c>
      <c r="O159" t="inlineStr">
        <is>
          <t>eng</t>
        </is>
      </c>
      <c r="P159" t="inlineStr">
        <is>
          <t>enk</t>
        </is>
      </c>
      <c r="Q159" t="inlineStr">
        <is>
          <t>The King penguin books, 76</t>
        </is>
      </c>
      <c r="R159" t="inlineStr">
        <is>
          <t xml:space="preserve">NB </t>
        </is>
      </c>
      <c r="S159" t="n">
        <v>4</v>
      </c>
      <c r="T159" t="n">
        <v>4</v>
      </c>
      <c r="U159" t="inlineStr">
        <is>
          <t>2006-04-24</t>
        </is>
      </c>
      <c r="V159" t="inlineStr">
        <is>
          <t>2006-04-24</t>
        </is>
      </c>
      <c r="W159" t="inlineStr">
        <is>
          <t>1997-07-02</t>
        </is>
      </c>
      <c r="X159" t="inlineStr">
        <is>
          <t>1997-07-02</t>
        </is>
      </c>
      <c r="Y159" t="n">
        <v>301</v>
      </c>
      <c r="Z159" t="n">
        <v>192</v>
      </c>
      <c r="AA159" t="n">
        <v>193</v>
      </c>
      <c r="AB159" t="n">
        <v>2</v>
      </c>
      <c r="AC159" t="n">
        <v>2</v>
      </c>
      <c r="AD159" t="n">
        <v>13</v>
      </c>
      <c r="AE159" t="n">
        <v>13</v>
      </c>
      <c r="AF159" t="n">
        <v>5</v>
      </c>
      <c r="AG159" t="n">
        <v>5</v>
      </c>
      <c r="AH159" t="n">
        <v>2</v>
      </c>
      <c r="AI159" t="n">
        <v>2</v>
      </c>
      <c r="AJ159" t="n">
        <v>9</v>
      </c>
      <c r="AK159" t="n">
        <v>9</v>
      </c>
      <c r="AL159" t="n">
        <v>1</v>
      </c>
      <c r="AM159" t="n">
        <v>1</v>
      </c>
      <c r="AN159" t="n">
        <v>0</v>
      </c>
      <c r="AO159" t="n">
        <v>0</v>
      </c>
      <c r="AP159" t="inlineStr">
        <is>
          <t>No</t>
        </is>
      </c>
      <c r="AQ159" t="inlineStr">
        <is>
          <t>Yes</t>
        </is>
      </c>
      <c r="AR159">
        <f>HYPERLINK("http://catalog.hathitrust.org/Record/000477474","HathiTrust Record")</f>
        <v/>
      </c>
      <c r="AS159">
        <f>HYPERLINK("https://creighton-primo.hosted.exlibrisgroup.com/primo-explore/search?tab=default_tab&amp;search_scope=EVERYTHING&amp;vid=01CRU&amp;lang=en_US&amp;offset=0&amp;query=any,contains,991003571939702656","Catalog Record")</f>
        <v/>
      </c>
      <c r="AT159">
        <f>HYPERLINK("http://www.worldcat.org/oclc/1147260","WorldCat Record")</f>
        <v/>
      </c>
      <c r="AU159" t="inlineStr">
        <is>
          <t>2564984418:eng</t>
        </is>
      </c>
      <c r="AV159" t="inlineStr">
        <is>
          <t>1147260</t>
        </is>
      </c>
      <c r="AW159" t="inlineStr">
        <is>
          <t>991003571939702656</t>
        </is>
      </c>
      <c r="AX159" t="inlineStr">
        <is>
          <t>991003571939702656</t>
        </is>
      </c>
      <c r="AY159" t="inlineStr">
        <is>
          <t>2262453130002656</t>
        </is>
      </c>
      <c r="AZ159" t="inlineStr">
        <is>
          <t>BOOK</t>
        </is>
      </c>
      <c r="BC159" t="inlineStr">
        <is>
          <t>32285002863438</t>
        </is>
      </c>
      <c r="BD159" t="inlineStr">
        <is>
          <t>893505715</t>
        </is>
      </c>
    </row>
    <row r="160">
      <c r="A160" t="inlineStr">
        <is>
          <t>No</t>
        </is>
      </c>
      <c r="B160" t="inlineStr">
        <is>
          <t>NB91.O6 A78</t>
        </is>
      </c>
      <c r="C160" t="inlineStr">
        <is>
          <t>0                      NB 0091000O  6                  A  78</t>
        </is>
      </c>
      <c r="D160" t="inlineStr">
        <is>
          <t>Olympia: the sculptures of the temple of Zeus / by Bernard Ashmole and Nicholas Yalouris ; with new photographs by Alison Frantz.</t>
        </is>
      </c>
      <c r="F160" t="inlineStr">
        <is>
          <t>No</t>
        </is>
      </c>
      <c r="G160" t="inlineStr">
        <is>
          <t>1</t>
        </is>
      </c>
      <c r="H160" t="inlineStr">
        <is>
          <t>No</t>
        </is>
      </c>
      <c r="I160" t="inlineStr">
        <is>
          <t>No</t>
        </is>
      </c>
      <c r="J160" t="inlineStr">
        <is>
          <t>0</t>
        </is>
      </c>
      <c r="K160" t="inlineStr">
        <is>
          <t>Ashmole, Bernard, 1894-1988.</t>
        </is>
      </c>
      <c r="L160" t="inlineStr">
        <is>
          <t>London : Phaidon, [1967]</t>
        </is>
      </c>
      <c r="M160" t="inlineStr">
        <is>
          <t>1967</t>
        </is>
      </c>
      <c r="O160" t="inlineStr">
        <is>
          <t>eng</t>
        </is>
      </c>
      <c r="P160" t="inlineStr">
        <is>
          <t>enk</t>
        </is>
      </c>
      <c r="R160" t="inlineStr">
        <is>
          <t xml:space="preserve">NB </t>
        </is>
      </c>
      <c r="S160" t="n">
        <v>3</v>
      </c>
      <c r="T160" t="n">
        <v>3</v>
      </c>
      <c r="U160" t="inlineStr">
        <is>
          <t>2006-03-29</t>
        </is>
      </c>
      <c r="V160" t="inlineStr">
        <is>
          <t>2006-03-29</t>
        </is>
      </c>
      <c r="W160" t="inlineStr">
        <is>
          <t>1997-07-02</t>
        </is>
      </c>
      <c r="X160" t="inlineStr">
        <is>
          <t>1997-07-02</t>
        </is>
      </c>
      <c r="Y160" t="n">
        <v>813</v>
      </c>
      <c r="Z160" t="n">
        <v>660</v>
      </c>
      <c r="AA160" t="n">
        <v>715</v>
      </c>
      <c r="AB160" t="n">
        <v>5</v>
      </c>
      <c r="AC160" t="n">
        <v>5</v>
      </c>
      <c r="AD160" t="n">
        <v>31</v>
      </c>
      <c r="AE160" t="n">
        <v>33</v>
      </c>
      <c r="AF160" t="n">
        <v>14</v>
      </c>
      <c r="AG160" t="n">
        <v>15</v>
      </c>
      <c r="AH160" t="n">
        <v>7</v>
      </c>
      <c r="AI160" t="n">
        <v>8</v>
      </c>
      <c r="AJ160" t="n">
        <v>15</v>
      </c>
      <c r="AK160" t="n">
        <v>16</v>
      </c>
      <c r="AL160" t="n">
        <v>3</v>
      </c>
      <c r="AM160" t="n">
        <v>3</v>
      </c>
      <c r="AN160" t="n">
        <v>0</v>
      </c>
      <c r="AO160" t="n">
        <v>0</v>
      </c>
      <c r="AP160" t="inlineStr">
        <is>
          <t>No</t>
        </is>
      </c>
      <c r="AQ160" t="inlineStr">
        <is>
          <t>Yes</t>
        </is>
      </c>
      <c r="AR160">
        <f>HYPERLINK("http://catalog.hathitrust.org/Record/000429938","HathiTrust Record")</f>
        <v/>
      </c>
      <c r="AS160">
        <f>HYPERLINK("https://creighton-primo.hosted.exlibrisgroup.com/primo-explore/search?tab=default_tab&amp;search_scope=EVERYTHING&amp;vid=01CRU&amp;lang=en_US&amp;offset=0&amp;query=any,contains,991000535519702656","Catalog Record")</f>
        <v/>
      </c>
      <c r="AT160">
        <f>HYPERLINK("http://www.worldcat.org/oclc/11444853","WorldCat Record")</f>
        <v/>
      </c>
      <c r="AU160" t="inlineStr">
        <is>
          <t>4783210890:eng</t>
        </is>
      </c>
      <c r="AV160" t="inlineStr">
        <is>
          <t>11444853</t>
        </is>
      </c>
      <c r="AW160" t="inlineStr">
        <is>
          <t>991000535519702656</t>
        </is>
      </c>
      <c r="AX160" t="inlineStr">
        <is>
          <t>991000535519702656</t>
        </is>
      </c>
      <c r="AY160" t="inlineStr">
        <is>
          <t>2259631060002656</t>
        </is>
      </c>
      <c r="AZ160" t="inlineStr">
        <is>
          <t>BOOK</t>
        </is>
      </c>
      <c r="BC160" t="inlineStr">
        <is>
          <t>32285002863453</t>
        </is>
      </c>
      <c r="BD160" t="inlineStr">
        <is>
          <t>893521764</t>
        </is>
      </c>
    </row>
    <row r="161">
      <c r="A161" t="inlineStr">
        <is>
          <t>No</t>
        </is>
      </c>
      <c r="B161" t="inlineStr">
        <is>
          <t>NB92 .G5</t>
        </is>
      </c>
      <c r="C161" t="inlineStr">
        <is>
          <t>0                      NB 0092000G  5</t>
        </is>
      </c>
      <c r="D161" t="inlineStr">
        <is>
          <t>Classical Greece; the Elgin marbles of the Parthenon. Photographed by F.L. Kenett.</t>
        </is>
      </c>
      <c r="F161" t="inlineStr">
        <is>
          <t>No</t>
        </is>
      </c>
      <c r="G161" t="inlineStr">
        <is>
          <t>1</t>
        </is>
      </c>
      <c r="H161" t="inlineStr">
        <is>
          <t>No</t>
        </is>
      </c>
      <c r="I161" t="inlineStr">
        <is>
          <t>No</t>
        </is>
      </c>
      <c r="J161" t="inlineStr">
        <is>
          <t>0</t>
        </is>
      </c>
      <c r="K161" t="inlineStr">
        <is>
          <t>Gialourēs, Nikolaos, 1917-</t>
        </is>
      </c>
      <c r="L161" t="inlineStr">
        <is>
          <t>Greenwich, Conn., New York Graphic Society [c1960]</t>
        </is>
      </c>
      <c r="M161" t="inlineStr">
        <is>
          <t>1960</t>
        </is>
      </c>
      <c r="O161" t="inlineStr">
        <is>
          <t>eng</t>
        </is>
      </c>
      <c r="P161" t="inlineStr">
        <is>
          <t>ctu</t>
        </is>
      </c>
      <c r="Q161" t="inlineStr">
        <is>
          <t>The Acanthus history of sculpture</t>
        </is>
      </c>
      <c r="R161" t="inlineStr">
        <is>
          <t xml:space="preserve">NB </t>
        </is>
      </c>
      <c r="S161" t="n">
        <v>3</v>
      </c>
      <c r="T161" t="n">
        <v>3</v>
      </c>
      <c r="U161" t="inlineStr">
        <is>
          <t>2003-11-07</t>
        </is>
      </c>
      <c r="V161" t="inlineStr">
        <is>
          <t>2003-11-07</t>
        </is>
      </c>
      <c r="W161" t="inlineStr">
        <is>
          <t>1997-07-02</t>
        </is>
      </c>
      <c r="X161" t="inlineStr">
        <is>
          <t>1997-07-02</t>
        </is>
      </c>
      <c r="Y161" t="n">
        <v>774</v>
      </c>
      <c r="Z161" t="n">
        <v>738</v>
      </c>
      <c r="AA161" t="n">
        <v>777</v>
      </c>
      <c r="AB161" t="n">
        <v>6</v>
      </c>
      <c r="AC161" t="n">
        <v>7</v>
      </c>
      <c r="AD161" t="n">
        <v>28</v>
      </c>
      <c r="AE161" t="n">
        <v>29</v>
      </c>
      <c r="AF161" t="n">
        <v>13</v>
      </c>
      <c r="AG161" t="n">
        <v>13</v>
      </c>
      <c r="AH161" t="n">
        <v>5</v>
      </c>
      <c r="AI161" t="n">
        <v>5</v>
      </c>
      <c r="AJ161" t="n">
        <v>12</v>
      </c>
      <c r="AK161" t="n">
        <v>12</v>
      </c>
      <c r="AL161" t="n">
        <v>4</v>
      </c>
      <c r="AM161" t="n">
        <v>5</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HYPERLINK("https://creighton-primo.hosted.exlibrisgroup.com/primo-explore/search?tab=default_tab&amp;search_scope=EVERYTHING&amp;vid=01CRU&amp;lang=en_US&amp;offset=0&amp;query=any,contains,991003571909702656","Catalog Record")</f>
        <v/>
      </c>
      <c r="AT161">
        <f>HYPERLINK("http://www.worldcat.org/oclc/1147243","WorldCat Record")</f>
        <v/>
      </c>
      <c r="AU161" t="inlineStr">
        <is>
          <t>368526035:eng</t>
        </is>
      </c>
      <c r="AV161" t="inlineStr">
        <is>
          <t>1147243</t>
        </is>
      </c>
      <c r="AW161" t="inlineStr">
        <is>
          <t>991003571909702656</t>
        </is>
      </c>
      <c r="AX161" t="inlineStr">
        <is>
          <t>991003571909702656</t>
        </is>
      </c>
      <c r="AY161" t="inlineStr">
        <is>
          <t>2262475490002656</t>
        </is>
      </c>
      <c r="AZ161" t="inlineStr">
        <is>
          <t>BOOK</t>
        </is>
      </c>
      <c r="BC161" t="inlineStr">
        <is>
          <t>32285002863479</t>
        </is>
      </c>
      <c r="BD161" t="inlineStr">
        <is>
          <t>893336638</t>
        </is>
      </c>
    </row>
    <row r="162">
      <c r="A162" t="inlineStr">
        <is>
          <t>No</t>
        </is>
      </c>
      <c r="B162" t="inlineStr">
        <is>
          <t>NB933.B7 G4</t>
        </is>
      </c>
      <c r="C162" t="inlineStr">
        <is>
          <t>0                      NB 0933000B  7                  G  4</t>
        </is>
      </c>
      <c r="D162" t="inlineStr">
        <is>
          <t>Brancusi : a study of the sculpture.</t>
        </is>
      </c>
      <c r="F162" t="inlineStr">
        <is>
          <t>No</t>
        </is>
      </c>
      <c r="G162" t="inlineStr">
        <is>
          <t>1</t>
        </is>
      </c>
      <c r="H162" t="inlineStr">
        <is>
          <t>No</t>
        </is>
      </c>
      <c r="I162" t="inlineStr">
        <is>
          <t>No</t>
        </is>
      </c>
      <c r="J162" t="inlineStr">
        <is>
          <t>0</t>
        </is>
      </c>
      <c r="K162" t="inlineStr">
        <is>
          <t>Geist, Sidney.</t>
        </is>
      </c>
      <c r="L162" t="inlineStr">
        <is>
          <t>New York : Grossman, 1968 [c1967]</t>
        </is>
      </c>
      <c r="M162" t="inlineStr">
        <is>
          <t>1968</t>
        </is>
      </c>
      <c r="O162" t="inlineStr">
        <is>
          <t>eng</t>
        </is>
      </c>
      <c r="P162" t="inlineStr">
        <is>
          <t>nyu</t>
        </is>
      </c>
      <c r="R162" t="inlineStr">
        <is>
          <t xml:space="preserve">NB </t>
        </is>
      </c>
      <c r="S162" t="n">
        <v>11</v>
      </c>
      <c r="T162" t="n">
        <v>11</v>
      </c>
      <c r="U162" t="inlineStr">
        <is>
          <t>2007-09-11</t>
        </is>
      </c>
      <c r="V162" t="inlineStr">
        <is>
          <t>2007-09-11</t>
        </is>
      </c>
      <c r="W162" t="inlineStr">
        <is>
          <t>1992-12-17</t>
        </is>
      </c>
      <c r="X162" t="inlineStr">
        <is>
          <t>1992-12-17</t>
        </is>
      </c>
      <c r="Y162" t="n">
        <v>843</v>
      </c>
      <c r="Z162" t="n">
        <v>779</v>
      </c>
      <c r="AA162" t="n">
        <v>956</v>
      </c>
      <c r="AB162" t="n">
        <v>7</v>
      </c>
      <c r="AC162" t="n">
        <v>7</v>
      </c>
      <c r="AD162" t="n">
        <v>29</v>
      </c>
      <c r="AE162" t="n">
        <v>31</v>
      </c>
      <c r="AF162" t="n">
        <v>10</v>
      </c>
      <c r="AG162" t="n">
        <v>12</v>
      </c>
      <c r="AH162" t="n">
        <v>6</v>
      </c>
      <c r="AI162" t="n">
        <v>6</v>
      </c>
      <c r="AJ162" t="n">
        <v>12</v>
      </c>
      <c r="AK162" t="n">
        <v>13</v>
      </c>
      <c r="AL162" t="n">
        <v>6</v>
      </c>
      <c r="AM162" t="n">
        <v>6</v>
      </c>
      <c r="AN162" t="n">
        <v>0</v>
      </c>
      <c r="AO162" t="n">
        <v>0</v>
      </c>
      <c r="AP162" t="inlineStr">
        <is>
          <t>No</t>
        </is>
      </c>
      <c r="AQ162" t="inlineStr">
        <is>
          <t>Yes</t>
        </is>
      </c>
      <c r="AR162">
        <f>HYPERLINK("http://catalog.hathitrust.org/Record/001467978","HathiTrust Record")</f>
        <v/>
      </c>
      <c r="AS162">
        <f>HYPERLINK("https://creighton-primo.hosted.exlibrisgroup.com/primo-explore/search?tab=default_tab&amp;search_scope=EVERYTHING&amp;vid=01CRU&amp;lang=en_US&amp;offset=0&amp;query=any,contains,991003366239702656","Catalog Record")</f>
        <v/>
      </c>
      <c r="AT162">
        <f>HYPERLINK("http://www.worldcat.org/oclc/902120","WorldCat Record")</f>
        <v/>
      </c>
      <c r="AU162" t="inlineStr">
        <is>
          <t>376730:eng</t>
        </is>
      </c>
      <c r="AV162" t="inlineStr">
        <is>
          <t>902120</t>
        </is>
      </c>
      <c r="AW162" t="inlineStr">
        <is>
          <t>991003366239702656</t>
        </is>
      </c>
      <c r="AX162" t="inlineStr">
        <is>
          <t>991003366239702656</t>
        </is>
      </c>
      <c r="AY162" t="inlineStr">
        <is>
          <t>2262482640002656</t>
        </is>
      </c>
      <c r="AZ162" t="inlineStr">
        <is>
          <t>BOOK</t>
        </is>
      </c>
      <c r="BC162" t="inlineStr">
        <is>
          <t>32285001442895</t>
        </is>
      </c>
      <c r="BD162" t="inlineStr">
        <is>
          <t>893705163</t>
        </is>
      </c>
    </row>
    <row r="163">
      <c r="A163" t="inlineStr">
        <is>
          <t>No</t>
        </is>
      </c>
      <c r="B163" t="inlineStr">
        <is>
          <t>NB933.B7 G43</t>
        </is>
      </c>
      <c r="C163" t="inlineStr">
        <is>
          <t>0                      NB 0933000B  7                  G  43</t>
        </is>
      </c>
      <c r="D163" t="inlineStr">
        <is>
          <t>Brancusi : the sculpture and drawings.</t>
        </is>
      </c>
      <c r="F163" t="inlineStr">
        <is>
          <t>No</t>
        </is>
      </c>
      <c r="G163" t="inlineStr">
        <is>
          <t>1</t>
        </is>
      </c>
      <c r="H163" t="inlineStr">
        <is>
          <t>No</t>
        </is>
      </c>
      <c r="I163" t="inlineStr">
        <is>
          <t>No</t>
        </is>
      </c>
      <c r="J163" t="inlineStr">
        <is>
          <t>0</t>
        </is>
      </c>
      <c r="K163" t="inlineStr">
        <is>
          <t>Geist, Sidney.</t>
        </is>
      </c>
      <c r="L163" t="inlineStr">
        <is>
          <t>New York : H. N. Abrams, [1975]</t>
        </is>
      </c>
      <c r="M163" t="inlineStr">
        <is>
          <t>1975</t>
        </is>
      </c>
      <c r="O163" t="inlineStr">
        <is>
          <t>eng</t>
        </is>
      </c>
      <c r="P163" t="inlineStr">
        <is>
          <t>nyu</t>
        </is>
      </c>
      <c r="R163" t="inlineStr">
        <is>
          <t xml:space="preserve">NB </t>
        </is>
      </c>
      <c r="S163" t="n">
        <v>8</v>
      </c>
      <c r="T163" t="n">
        <v>8</v>
      </c>
      <c r="U163" t="inlineStr">
        <is>
          <t>2006-10-01</t>
        </is>
      </c>
      <c r="V163" t="inlineStr">
        <is>
          <t>2006-10-01</t>
        </is>
      </c>
      <c r="W163" t="inlineStr">
        <is>
          <t>1990-05-22</t>
        </is>
      </c>
      <c r="X163" t="inlineStr">
        <is>
          <t>1990-05-22</t>
        </is>
      </c>
      <c r="Y163" t="n">
        <v>695</v>
      </c>
      <c r="Z163" t="n">
        <v>598</v>
      </c>
      <c r="AA163" t="n">
        <v>614</v>
      </c>
      <c r="AB163" t="n">
        <v>3</v>
      </c>
      <c r="AC163" t="n">
        <v>3</v>
      </c>
      <c r="AD163" t="n">
        <v>16</v>
      </c>
      <c r="AE163" t="n">
        <v>16</v>
      </c>
      <c r="AF163" t="n">
        <v>7</v>
      </c>
      <c r="AG163" t="n">
        <v>7</v>
      </c>
      <c r="AH163" t="n">
        <v>2</v>
      </c>
      <c r="AI163" t="n">
        <v>2</v>
      </c>
      <c r="AJ163" t="n">
        <v>9</v>
      </c>
      <c r="AK163" t="n">
        <v>9</v>
      </c>
      <c r="AL163" t="n">
        <v>2</v>
      </c>
      <c r="AM163" t="n">
        <v>2</v>
      </c>
      <c r="AN163" t="n">
        <v>0</v>
      </c>
      <c r="AO163" t="n">
        <v>0</v>
      </c>
      <c r="AP163" t="inlineStr">
        <is>
          <t>No</t>
        </is>
      </c>
      <c r="AQ163" t="inlineStr">
        <is>
          <t>Yes</t>
        </is>
      </c>
      <c r="AR163">
        <f>HYPERLINK("http://catalog.hathitrust.org/Record/001467979","HathiTrust Record")</f>
        <v/>
      </c>
      <c r="AS163">
        <f>HYPERLINK("https://creighton-primo.hosted.exlibrisgroup.com/primo-explore/search?tab=default_tab&amp;search_scope=EVERYTHING&amp;vid=01CRU&amp;lang=en_US&amp;offset=0&amp;query=any,contains,991003495479702656","Catalog Record")</f>
        <v/>
      </c>
      <c r="AT163">
        <f>HYPERLINK("http://www.worldcat.org/oclc/1046026","WorldCat Record")</f>
        <v/>
      </c>
      <c r="AU163" t="inlineStr">
        <is>
          <t>473606613:eng</t>
        </is>
      </c>
      <c r="AV163" t="inlineStr">
        <is>
          <t>1046026</t>
        </is>
      </c>
      <c r="AW163" t="inlineStr">
        <is>
          <t>991003495479702656</t>
        </is>
      </c>
      <c r="AX163" t="inlineStr">
        <is>
          <t>991003495479702656</t>
        </is>
      </c>
      <c r="AY163" t="inlineStr">
        <is>
          <t>2266862720002656</t>
        </is>
      </c>
      <c r="AZ163" t="inlineStr">
        <is>
          <t>BOOK</t>
        </is>
      </c>
      <c r="BB163" t="inlineStr">
        <is>
          <t>9780810901247</t>
        </is>
      </c>
      <c r="BC163" t="inlineStr">
        <is>
          <t>32285000157346</t>
        </is>
      </c>
      <c r="BD163" t="inlineStr">
        <is>
          <t>893428849</t>
        </is>
      </c>
    </row>
    <row r="164">
      <c r="A164" t="inlineStr">
        <is>
          <t>No</t>
        </is>
      </c>
      <c r="B164" t="inlineStr">
        <is>
          <t>NB933.B7 S52 1989</t>
        </is>
      </c>
      <c r="C164" t="inlineStr">
        <is>
          <t>0                      NB 0933000B  7                  S  52          1989</t>
        </is>
      </c>
      <c r="D164" t="inlineStr">
        <is>
          <t>Constantin Brancusi / Eric Shanes.</t>
        </is>
      </c>
      <c r="F164" t="inlineStr">
        <is>
          <t>No</t>
        </is>
      </c>
      <c r="G164" t="inlineStr">
        <is>
          <t>1</t>
        </is>
      </c>
      <c r="H164" t="inlineStr">
        <is>
          <t>No</t>
        </is>
      </c>
      <c r="I164" t="inlineStr">
        <is>
          <t>No</t>
        </is>
      </c>
      <c r="J164" t="inlineStr">
        <is>
          <t>0</t>
        </is>
      </c>
      <c r="K164" t="inlineStr">
        <is>
          <t>Shanes, Eric.</t>
        </is>
      </c>
      <c r="L164" t="inlineStr">
        <is>
          <t>New York : Abbeville Press, 1989.</t>
        </is>
      </c>
      <c r="M164" t="inlineStr">
        <is>
          <t>1989</t>
        </is>
      </c>
      <c r="N164" t="inlineStr">
        <is>
          <t>1st ed.</t>
        </is>
      </c>
      <c r="O164" t="inlineStr">
        <is>
          <t>eng</t>
        </is>
      </c>
      <c r="P164" t="inlineStr">
        <is>
          <t>nyu</t>
        </is>
      </c>
      <c r="Q164" t="inlineStr">
        <is>
          <t>Modern masters series</t>
        </is>
      </c>
      <c r="R164" t="inlineStr">
        <is>
          <t xml:space="preserve">NB </t>
        </is>
      </c>
      <c r="S164" t="n">
        <v>13</v>
      </c>
      <c r="T164" t="n">
        <v>13</v>
      </c>
      <c r="U164" t="inlineStr">
        <is>
          <t>2007-09-11</t>
        </is>
      </c>
      <c r="V164" t="inlineStr">
        <is>
          <t>2007-09-11</t>
        </is>
      </c>
      <c r="W164" t="inlineStr">
        <is>
          <t>1989-12-29</t>
        </is>
      </c>
      <c r="X164" t="inlineStr">
        <is>
          <t>1989-12-29</t>
        </is>
      </c>
      <c r="Y164" t="n">
        <v>917</v>
      </c>
      <c r="Z164" t="n">
        <v>767</v>
      </c>
      <c r="AA164" t="n">
        <v>772</v>
      </c>
      <c r="AB164" t="n">
        <v>5</v>
      </c>
      <c r="AC164" t="n">
        <v>5</v>
      </c>
      <c r="AD164" t="n">
        <v>27</v>
      </c>
      <c r="AE164" t="n">
        <v>27</v>
      </c>
      <c r="AF164" t="n">
        <v>8</v>
      </c>
      <c r="AG164" t="n">
        <v>8</v>
      </c>
      <c r="AH164" t="n">
        <v>7</v>
      </c>
      <c r="AI164" t="n">
        <v>7</v>
      </c>
      <c r="AJ164" t="n">
        <v>14</v>
      </c>
      <c r="AK164" t="n">
        <v>14</v>
      </c>
      <c r="AL164" t="n">
        <v>3</v>
      </c>
      <c r="AM164" t="n">
        <v>3</v>
      </c>
      <c r="AN164" t="n">
        <v>0</v>
      </c>
      <c r="AO164" t="n">
        <v>0</v>
      </c>
      <c r="AP164" t="inlineStr">
        <is>
          <t>No</t>
        </is>
      </c>
      <c r="AQ164" t="inlineStr">
        <is>
          <t>Yes</t>
        </is>
      </c>
      <c r="AR164">
        <f>HYPERLINK("http://catalog.hathitrust.org/Record/001541402","HathiTrust Record")</f>
        <v/>
      </c>
      <c r="AS164">
        <f>HYPERLINK("https://creighton-primo.hosted.exlibrisgroup.com/primo-explore/search?tab=default_tab&amp;search_scope=EVERYTHING&amp;vid=01CRU&amp;lang=en_US&amp;offset=0&amp;query=any,contains,991001351029702656","Catalog Record")</f>
        <v/>
      </c>
      <c r="AT164">
        <f>HYPERLINK("http://www.worldcat.org/oclc/18441976","WorldCat Record")</f>
        <v/>
      </c>
      <c r="AU164" t="inlineStr">
        <is>
          <t>17985064:eng</t>
        </is>
      </c>
      <c r="AV164" t="inlineStr">
        <is>
          <t>18441976</t>
        </is>
      </c>
      <c r="AW164" t="inlineStr">
        <is>
          <t>991001351029702656</t>
        </is>
      </c>
      <c r="AX164" t="inlineStr">
        <is>
          <t>991001351029702656</t>
        </is>
      </c>
      <c r="AY164" t="inlineStr">
        <is>
          <t>2269181330002656</t>
        </is>
      </c>
      <c r="AZ164" t="inlineStr">
        <is>
          <t>BOOK</t>
        </is>
      </c>
      <c r="BB164" t="inlineStr">
        <is>
          <t>9780896599291</t>
        </is>
      </c>
      <c r="BC164" t="inlineStr">
        <is>
          <t>32285000019694</t>
        </is>
      </c>
      <c r="BD164" t="inlineStr">
        <is>
          <t>893878817</t>
        </is>
      </c>
    </row>
    <row r="165">
      <c r="A165" t="inlineStr">
        <is>
          <t>No</t>
        </is>
      </c>
      <c r="B165" t="inlineStr">
        <is>
          <t>NB94 .A83 1972b</t>
        </is>
      </c>
      <c r="C165" t="inlineStr">
        <is>
          <t>0                      NB 0094000A  83          1972b</t>
        </is>
      </c>
      <c r="D165" t="inlineStr">
        <is>
          <t>Architect and sculptor in classical Greece.</t>
        </is>
      </c>
      <c r="F165" t="inlineStr">
        <is>
          <t>No</t>
        </is>
      </c>
      <c r="G165" t="inlineStr">
        <is>
          <t>1</t>
        </is>
      </c>
      <c r="H165" t="inlineStr">
        <is>
          <t>No</t>
        </is>
      </c>
      <c r="I165" t="inlineStr">
        <is>
          <t>No</t>
        </is>
      </c>
      <c r="J165" t="inlineStr">
        <is>
          <t>0</t>
        </is>
      </c>
      <c r="K165" t="inlineStr">
        <is>
          <t>Ashmole, Bernard, 1894-1988.</t>
        </is>
      </c>
      <c r="L165" t="inlineStr">
        <is>
          <t>[New York] : New York University Press, [1972]</t>
        </is>
      </c>
      <c r="M165" t="inlineStr">
        <is>
          <t>1972</t>
        </is>
      </c>
      <c r="O165" t="inlineStr">
        <is>
          <t>eng</t>
        </is>
      </c>
      <c r="P165" t="inlineStr">
        <is>
          <t>nyu</t>
        </is>
      </c>
      <c r="Q165" t="inlineStr">
        <is>
          <t>The Wrightsman lectures ; v. 6</t>
        </is>
      </c>
      <c r="R165" t="inlineStr">
        <is>
          <t xml:space="preserve">NB </t>
        </is>
      </c>
      <c r="S165" t="n">
        <v>3</v>
      </c>
      <c r="T165" t="n">
        <v>3</v>
      </c>
      <c r="U165" t="inlineStr">
        <is>
          <t>2003-03-04</t>
        </is>
      </c>
      <c r="V165" t="inlineStr">
        <is>
          <t>2003-03-04</t>
        </is>
      </c>
      <c r="W165" t="inlineStr">
        <is>
          <t>1994-08-23</t>
        </is>
      </c>
      <c r="X165" t="inlineStr">
        <is>
          <t>1994-08-23</t>
        </is>
      </c>
      <c r="Y165" t="n">
        <v>740</v>
      </c>
      <c r="Z165" t="n">
        <v>679</v>
      </c>
      <c r="AA165" t="n">
        <v>881</v>
      </c>
      <c r="AB165" t="n">
        <v>7</v>
      </c>
      <c r="AC165" t="n">
        <v>8</v>
      </c>
      <c r="AD165" t="n">
        <v>34</v>
      </c>
      <c r="AE165" t="n">
        <v>41</v>
      </c>
      <c r="AF165" t="n">
        <v>15</v>
      </c>
      <c r="AG165" t="n">
        <v>18</v>
      </c>
      <c r="AH165" t="n">
        <v>7</v>
      </c>
      <c r="AI165" t="n">
        <v>10</v>
      </c>
      <c r="AJ165" t="n">
        <v>16</v>
      </c>
      <c r="AK165" t="n">
        <v>18</v>
      </c>
      <c r="AL165" t="n">
        <v>5</v>
      </c>
      <c r="AM165" t="n">
        <v>6</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HYPERLINK("https://creighton-primo.hosted.exlibrisgroup.com/primo-explore/search?tab=default_tab&amp;search_scope=EVERYTHING&amp;vid=01CRU&amp;lang=en_US&amp;offset=0&amp;query=any,contains,991003763679702656","Catalog Record")</f>
        <v/>
      </c>
      <c r="AT165">
        <f>HYPERLINK("http://www.worldcat.org/oclc/1454144","WorldCat Record")</f>
        <v/>
      </c>
      <c r="AU165" t="inlineStr">
        <is>
          <t>138705980:eng</t>
        </is>
      </c>
      <c r="AV165" t="inlineStr">
        <is>
          <t>1454144</t>
        </is>
      </c>
      <c r="AW165" t="inlineStr">
        <is>
          <t>991003763679702656</t>
        </is>
      </c>
      <c r="AX165" t="inlineStr">
        <is>
          <t>991003763679702656</t>
        </is>
      </c>
      <c r="AY165" t="inlineStr">
        <is>
          <t>2259235660002656</t>
        </is>
      </c>
      <c r="AZ165" t="inlineStr">
        <is>
          <t>BOOK</t>
        </is>
      </c>
      <c r="BC165" t="inlineStr">
        <is>
          <t>32285001938520</t>
        </is>
      </c>
      <c r="BD165" t="inlineStr">
        <is>
          <t>893531565</t>
        </is>
      </c>
    </row>
    <row r="166">
      <c r="A166" t="inlineStr">
        <is>
          <t>No</t>
        </is>
      </c>
      <c r="B166" t="inlineStr">
        <is>
          <t>NB98 .J7 1927</t>
        </is>
      </c>
      <c r="C166" t="inlineStr">
        <is>
          <t>0                      NB 0098000J  7           1927</t>
        </is>
      </c>
      <c r="D166" t="inlineStr">
        <is>
          <t>Lysippos, by Franklin P. Johnson.</t>
        </is>
      </c>
      <c r="F166" t="inlineStr">
        <is>
          <t>No</t>
        </is>
      </c>
      <c r="G166" t="inlineStr">
        <is>
          <t>1</t>
        </is>
      </c>
      <c r="H166" t="inlineStr">
        <is>
          <t>No</t>
        </is>
      </c>
      <c r="I166" t="inlineStr">
        <is>
          <t>No</t>
        </is>
      </c>
      <c r="J166" t="inlineStr">
        <is>
          <t>0</t>
        </is>
      </c>
      <c r="K166" t="inlineStr">
        <is>
          <t>Johnson, Franklin Plotinus, 1896-1975.</t>
        </is>
      </c>
      <c r="L166" t="inlineStr">
        <is>
          <t>Durham, N.C., Duke university press, 1927.</t>
        </is>
      </c>
      <c r="M166" t="inlineStr">
        <is>
          <t>1927</t>
        </is>
      </c>
      <c r="O166" t="inlineStr">
        <is>
          <t>eng</t>
        </is>
      </c>
      <c r="P166" t="inlineStr">
        <is>
          <t xml:space="preserve">xx </t>
        </is>
      </c>
      <c r="Q166" t="inlineStr">
        <is>
          <t>Duke University publications</t>
        </is>
      </c>
      <c r="R166" t="inlineStr">
        <is>
          <t xml:space="preserve">NB </t>
        </is>
      </c>
      <c r="S166" t="n">
        <v>2</v>
      </c>
      <c r="T166" t="n">
        <v>2</v>
      </c>
      <c r="U166" t="inlineStr">
        <is>
          <t>1999-01-20</t>
        </is>
      </c>
      <c r="V166" t="inlineStr">
        <is>
          <t>1999-01-20</t>
        </is>
      </c>
      <c r="W166" t="inlineStr">
        <is>
          <t>1997-07-02</t>
        </is>
      </c>
      <c r="X166" t="inlineStr">
        <is>
          <t>1997-07-02</t>
        </is>
      </c>
      <c r="Y166" t="n">
        <v>200</v>
      </c>
      <c r="Z166" t="n">
        <v>169</v>
      </c>
      <c r="AA166" t="n">
        <v>385</v>
      </c>
      <c r="AB166" t="n">
        <v>1</v>
      </c>
      <c r="AC166" t="n">
        <v>3</v>
      </c>
      <c r="AD166" t="n">
        <v>7</v>
      </c>
      <c r="AE166" t="n">
        <v>23</v>
      </c>
      <c r="AF166" t="n">
        <v>1</v>
      </c>
      <c r="AG166" t="n">
        <v>4</v>
      </c>
      <c r="AH166" t="n">
        <v>0</v>
      </c>
      <c r="AI166" t="n">
        <v>8</v>
      </c>
      <c r="AJ166" t="n">
        <v>7</v>
      </c>
      <c r="AK166" t="n">
        <v>15</v>
      </c>
      <c r="AL166" t="n">
        <v>0</v>
      </c>
      <c r="AM166" t="n">
        <v>2</v>
      </c>
      <c r="AN166" t="n">
        <v>0</v>
      </c>
      <c r="AO166" t="n">
        <v>0</v>
      </c>
      <c r="AP166" t="inlineStr">
        <is>
          <t>No</t>
        </is>
      </c>
      <c r="AQ166" t="inlineStr">
        <is>
          <t>Yes</t>
        </is>
      </c>
      <c r="AR166">
        <f>HYPERLINK("http://catalog.hathitrust.org/Record/000471979","HathiTrust Record")</f>
        <v/>
      </c>
      <c r="AS166">
        <f>HYPERLINK("https://creighton-primo.hosted.exlibrisgroup.com/primo-explore/search?tab=default_tab&amp;search_scope=EVERYTHING&amp;vid=01CRU&amp;lang=en_US&amp;offset=0&amp;query=any,contains,991003562409702656","Catalog Record")</f>
        <v/>
      </c>
      <c r="AT166">
        <f>HYPERLINK("http://www.worldcat.org/oclc/1133707","WorldCat Record")</f>
        <v/>
      </c>
      <c r="AU166" t="inlineStr">
        <is>
          <t>141343951:eng</t>
        </is>
      </c>
      <c r="AV166" t="inlineStr">
        <is>
          <t>1133707</t>
        </is>
      </c>
      <c r="AW166" t="inlineStr">
        <is>
          <t>991003562409702656</t>
        </is>
      </c>
      <c r="AX166" t="inlineStr">
        <is>
          <t>991003562409702656</t>
        </is>
      </c>
      <c r="AY166" t="inlineStr">
        <is>
          <t>2268031640002656</t>
        </is>
      </c>
      <c r="AZ166" t="inlineStr">
        <is>
          <t>BOOK</t>
        </is>
      </c>
      <c r="BC166" t="inlineStr">
        <is>
          <t>32285002863487</t>
        </is>
      </c>
      <c r="BD166" t="inlineStr">
        <is>
          <t>893228165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