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D909"/>
  <sheetViews>
    <sheetView workbookViewId="0">
      <selection activeCell="A1" sqref="A1"/>
    </sheetView>
  </sheetViews>
  <sheetFormatPr baseColWidth="8" defaultRowHeight="15"/>
  <sheetData>
    <row r="1">
      <c r="A1" t="inlineStr">
        <is>
          <t>Keep in Collection? (Yes/No)</t>
        </is>
      </c>
      <c r="B1" t="inlineStr">
        <is>
          <t>Display Call Number</t>
        </is>
      </c>
      <c r="C1" t="inlineStr">
        <is>
          <t>Display Call Number Normalized</t>
        </is>
      </c>
      <c r="D1" t="inlineStr">
        <is>
          <t>Title</t>
        </is>
      </c>
      <c r="E1" t="inlineStr">
        <is>
          <t>Enumeration</t>
        </is>
      </c>
      <c r="F1" t="inlineStr">
        <is>
          <t>Possible Multi-Volume Set</t>
        </is>
      </c>
      <c r="G1" t="inlineStr">
        <is>
          <t>Copy Number</t>
        </is>
      </c>
      <c r="H1" t="inlineStr">
        <is>
          <t>Possible Duplicate</t>
        </is>
      </c>
      <c r="I1" t="inlineStr">
        <is>
          <t>Multi-Edition Title</t>
        </is>
      </c>
      <c r="J1" t="inlineStr">
        <is>
          <t>Number of Related Ebooks</t>
        </is>
      </c>
      <c r="K1" t="inlineStr">
        <is>
          <t>Author</t>
        </is>
      </c>
      <c r="L1" t="inlineStr">
        <is>
          <t>Publisher</t>
        </is>
      </c>
      <c r="M1" t="inlineStr">
        <is>
          <t>Publication Year</t>
        </is>
      </c>
      <c r="N1" t="inlineStr">
        <is>
          <t>Edition</t>
        </is>
      </c>
      <c r="O1" t="inlineStr">
        <is>
          <t>Primary Language</t>
        </is>
      </c>
      <c r="P1" t="inlineStr">
        <is>
          <t>Place of Publication</t>
        </is>
      </c>
      <c r="Q1" t="inlineStr">
        <is>
          <t>Series</t>
        </is>
      </c>
      <c r="R1" t="inlineStr">
        <is>
          <t>LC Subclass</t>
        </is>
      </c>
      <c r="S1" t="inlineStr">
        <is>
          <t>Recorded Uses - Item</t>
        </is>
      </c>
      <c r="T1" t="inlineStr">
        <is>
          <t>Recorded Uses - Title</t>
        </is>
      </c>
      <c r="U1" t="inlineStr">
        <is>
          <t>Last Charge Date - Item</t>
        </is>
      </c>
      <c r="V1" t="inlineStr">
        <is>
          <t>Last Charge Date - Title</t>
        </is>
      </c>
      <c r="W1" t="inlineStr">
        <is>
          <t>Last Add Date - Item</t>
        </is>
      </c>
      <c r="X1" t="inlineStr">
        <is>
          <t>Last Add Date - Title</t>
        </is>
      </c>
      <c r="Y1" t="inlineStr">
        <is>
          <t>Global Holdings - Same Edition</t>
        </is>
      </c>
      <c r="Z1" t="inlineStr">
        <is>
          <t>US Holdings - Same Edition</t>
        </is>
      </c>
      <c r="AA1" t="inlineStr">
        <is>
          <t>US Holdings</t>
        </is>
      </c>
      <c r="AB1" t="inlineStr">
        <is>
          <t>Nebraska Holdings - Same Edition</t>
        </is>
      </c>
      <c r="AC1" t="inlineStr">
        <is>
          <t>Nebraska Holdings</t>
        </is>
      </c>
      <c r="AD1" t="inlineStr">
        <is>
          <t>All Comparator Library Holdings - Same Edition</t>
        </is>
      </c>
      <c r="AE1" t="inlineStr">
        <is>
          <t>All Comparator Library Holdings</t>
        </is>
      </c>
      <c r="AF1" t="inlineStr">
        <is>
          <t>Affinity Libraries - Same Edition</t>
        </is>
      </c>
      <c r="AG1" t="inlineStr">
        <is>
          <t>Affinity Libraries - Any Edition</t>
        </is>
      </c>
      <c r="AH1" t="inlineStr">
        <is>
          <t>Big East - Same Edition</t>
        </is>
      </c>
      <c r="AI1" t="inlineStr">
        <is>
          <t>Big East - Any Edition</t>
        </is>
      </c>
      <c r="AJ1" t="inlineStr">
        <is>
          <t>AJCU - Same Edition</t>
        </is>
      </c>
      <c r="AK1" t="inlineStr">
        <is>
          <t>AJCU - Any Edition</t>
        </is>
      </c>
      <c r="AL1" t="inlineStr">
        <is>
          <t>Nebraska Colleges &amp; Universities - Same Edition</t>
        </is>
      </c>
      <c r="AM1" t="inlineStr">
        <is>
          <t>Nebraska Colleges &amp; Universities - Any Edition</t>
        </is>
      </c>
      <c r="AN1" t="inlineStr">
        <is>
          <t>MALLCO - Same Edition</t>
        </is>
      </c>
      <c r="AO1" t="inlineStr">
        <is>
          <t>MALLCO - Any Edition</t>
        </is>
      </c>
      <c r="AP1" t="inlineStr">
        <is>
          <t>HathiTrust Public Domain</t>
        </is>
      </c>
      <c r="AQ1" t="inlineStr">
        <is>
          <t>HathiTrust In Copyright</t>
        </is>
      </c>
      <c r="AR1" t="inlineStr">
        <is>
          <t>HathiTrust URL</t>
        </is>
      </c>
      <c r="AS1" t="inlineStr">
        <is>
          <t>OPAC URL</t>
        </is>
      </c>
      <c r="AT1" t="inlineStr">
        <is>
          <t>WorldCat URL</t>
        </is>
      </c>
      <c r="AU1" t="inlineStr">
        <is>
          <t>OCLC Work ID</t>
        </is>
      </c>
      <c r="AV1" t="inlineStr">
        <is>
          <t>WorldCat OCLC Number</t>
        </is>
      </c>
      <c r="AW1" t="inlineStr">
        <is>
          <t>Bib Record Number</t>
        </is>
      </c>
      <c r="AX1" t="inlineStr">
        <is>
          <t>Bib Control Number</t>
        </is>
      </c>
      <c r="AY1" t="inlineStr">
        <is>
          <t>Item Control Number</t>
        </is>
      </c>
      <c r="AZ1" t="inlineStr">
        <is>
          <t>Item Type Code</t>
        </is>
      </c>
      <c r="BA1" t="inlineStr">
        <is>
          <t>Item Status Code</t>
        </is>
      </c>
      <c r="BB1" t="inlineStr">
        <is>
          <t>ISBN</t>
        </is>
      </c>
      <c r="BC1" t="inlineStr">
        <is>
          <t>Barcode</t>
        </is>
      </c>
      <c r="BD1" t="inlineStr">
        <is>
          <t>SCS Item ID</t>
        </is>
      </c>
    </row>
    <row r="2">
      <c r="A2" t="inlineStr">
        <is>
          <t>No</t>
        </is>
      </c>
      <c r="B2" t="inlineStr">
        <is>
          <t>PF111 .E72</t>
        </is>
      </c>
      <c r="C2" t="inlineStr">
        <is>
          <t>0                      PF 0111000E  72</t>
        </is>
      </c>
      <c r="D2" t="inlineStr">
        <is>
          <t>College German / by M. Blakemore Evans and Robert O. Röseler.</t>
        </is>
      </c>
      <c r="F2" t="inlineStr">
        <is>
          <t>No</t>
        </is>
      </c>
      <c r="G2" t="inlineStr">
        <is>
          <t>1</t>
        </is>
      </c>
      <c r="H2" t="inlineStr">
        <is>
          <t>No</t>
        </is>
      </c>
      <c r="I2" t="inlineStr">
        <is>
          <t>No</t>
        </is>
      </c>
      <c r="J2" t="inlineStr">
        <is>
          <t>0</t>
        </is>
      </c>
      <c r="K2" t="inlineStr">
        <is>
          <t>Evans, M. Blakemore (Marshall Blakemore), 1874-1953.</t>
        </is>
      </c>
      <c r="L2" t="inlineStr">
        <is>
          <t>New York : F. S. Crofts &amp; co., 1931.</t>
        </is>
      </c>
      <c r="M2" t="inlineStr">
        <is>
          <t>1931</t>
        </is>
      </c>
      <c r="O2" t="inlineStr">
        <is>
          <t>eng</t>
        </is>
      </c>
      <c r="P2" t="inlineStr">
        <is>
          <t>nyu</t>
        </is>
      </c>
      <c r="R2" t="inlineStr">
        <is>
          <t xml:space="preserve">PF </t>
        </is>
      </c>
      <c r="S2" t="n">
        <v>2</v>
      </c>
      <c r="T2" t="n">
        <v>2</v>
      </c>
      <c r="U2" t="inlineStr">
        <is>
          <t>1995-12-14</t>
        </is>
      </c>
      <c r="V2" t="inlineStr">
        <is>
          <t>1995-12-14</t>
        </is>
      </c>
      <c r="W2" t="inlineStr">
        <is>
          <t>1991-09-05</t>
        </is>
      </c>
      <c r="X2" t="inlineStr">
        <is>
          <t>1991-09-05</t>
        </is>
      </c>
      <c r="Y2" t="n">
        <v>24</v>
      </c>
      <c r="Z2" t="n">
        <v>19</v>
      </c>
      <c r="AA2" t="n">
        <v>104</v>
      </c>
      <c r="AB2" t="n">
        <v>1</v>
      </c>
      <c r="AC2" t="n">
        <v>1</v>
      </c>
      <c r="AD2" t="n">
        <v>0</v>
      </c>
      <c r="AE2" t="n">
        <v>6</v>
      </c>
      <c r="AF2" t="n">
        <v>0</v>
      </c>
      <c r="AG2" t="n">
        <v>2</v>
      </c>
      <c r="AH2" t="n">
        <v>0</v>
      </c>
      <c r="AI2" t="n">
        <v>0</v>
      </c>
      <c r="AJ2" t="n">
        <v>0</v>
      </c>
      <c r="AK2" t="n">
        <v>6</v>
      </c>
      <c r="AL2" t="n">
        <v>0</v>
      </c>
      <c r="AM2" t="n">
        <v>0</v>
      </c>
      <c r="AN2" t="n">
        <v>0</v>
      </c>
      <c r="AO2" t="n">
        <v>0</v>
      </c>
      <c r="AP2" t="inlineStr">
        <is>
          <t>No</t>
        </is>
      </c>
      <c r="AQ2" t="inlineStr">
        <is>
          <t>No</t>
        </is>
      </c>
      <c r="AS2">
        <f>HYPERLINK("https://creighton-primo.hosted.exlibrisgroup.com/primo-explore/search?tab=default_tab&amp;search_scope=EVERYTHING&amp;vid=01CRU&amp;lang=en_US&amp;offset=0&amp;query=any,contains,991003898239702656","Catalog Record")</f>
        <v/>
      </c>
      <c r="AT2">
        <f>HYPERLINK("http://www.worldcat.org/oclc/1817604","WorldCat Record")</f>
        <v/>
      </c>
      <c r="AU2" t="inlineStr">
        <is>
          <t>1966037:eng</t>
        </is>
      </c>
      <c r="AV2" t="inlineStr">
        <is>
          <t>1817604</t>
        </is>
      </c>
      <c r="AW2" t="inlineStr">
        <is>
          <t>991003898239702656</t>
        </is>
      </c>
      <c r="AX2" t="inlineStr">
        <is>
          <t>991003898239702656</t>
        </is>
      </c>
      <c r="AY2" t="inlineStr">
        <is>
          <t>2266991770002656</t>
        </is>
      </c>
      <c r="AZ2" t="inlineStr">
        <is>
          <t>BOOK</t>
        </is>
      </c>
      <c r="BC2" t="inlineStr">
        <is>
          <t>32285000736222</t>
        </is>
      </c>
      <c r="BD2" t="inlineStr">
        <is>
          <t>893605373</t>
        </is>
      </c>
    </row>
    <row r="3">
      <c r="A3" t="inlineStr">
        <is>
          <t>No</t>
        </is>
      </c>
      <c r="B3" t="inlineStr">
        <is>
          <t>PF3003 .F38 1888</t>
        </is>
      </c>
      <c r="C3" t="inlineStr">
        <is>
          <t>0                      PF 3003000F  38          1888</t>
        </is>
      </c>
      <c r="D3" t="inlineStr">
        <is>
          <t>One-year course in German / by Oscar Faulhaber.</t>
        </is>
      </c>
      <c r="F3" t="inlineStr">
        <is>
          <t>No</t>
        </is>
      </c>
      <c r="G3" t="inlineStr">
        <is>
          <t>1</t>
        </is>
      </c>
      <c r="H3" t="inlineStr">
        <is>
          <t>No</t>
        </is>
      </c>
      <c r="I3" t="inlineStr">
        <is>
          <t>No</t>
        </is>
      </c>
      <c r="J3" t="inlineStr">
        <is>
          <t>0</t>
        </is>
      </c>
      <c r="K3" t="inlineStr">
        <is>
          <t>Faulhaber, Oscar.</t>
        </is>
      </c>
      <c r="L3" t="inlineStr">
        <is>
          <t>Boston : D. C. Heath, 1888.</t>
        </is>
      </c>
      <c r="M3" t="inlineStr">
        <is>
          <t>1888</t>
        </is>
      </c>
      <c r="N3" t="inlineStr">
        <is>
          <t>2d. ed.</t>
        </is>
      </c>
      <c r="O3" t="inlineStr">
        <is>
          <t>eng</t>
        </is>
      </c>
      <c r="P3" t="inlineStr">
        <is>
          <t>mau</t>
        </is>
      </c>
      <c r="R3" t="inlineStr">
        <is>
          <t xml:space="preserve">PF </t>
        </is>
      </c>
      <c r="S3" t="n">
        <v>1</v>
      </c>
      <c r="T3" t="n">
        <v>1</v>
      </c>
      <c r="U3" t="inlineStr">
        <is>
          <t>2002-09-30</t>
        </is>
      </c>
      <c r="V3" t="inlineStr">
        <is>
          <t>2002-09-30</t>
        </is>
      </c>
      <c r="W3" t="inlineStr">
        <is>
          <t>1997-09-30</t>
        </is>
      </c>
      <c r="X3" t="inlineStr">
        <is>
          <t>1997-09-30</t>
        </is>
      </c>
      <c r="Y3" t="n">
        <v>8</v>
      </c>
      <c r="Z3" t="n">
        <v>8</v>
      </c>
      <c r="AA3" t="n">
        <v>14</v>
      </c>
      <c r="AB3" t="n">
        <v>1</v>
      </c>
      <c r="AC3" t="n">
        <v>1</v>
      </c>
      <c r="AD3" t="n">
        <v>0</v>
      </c>
      <c r="AE3" t="n">
        <v>0</v>
      </c>
      <c r="AF3" t="n">
        <v>0</v>
      </c>
      <c r="AG3" t="n">
        <v>0</v>
      </c>
      <c r="AH3" t="n">
        <v>0</v>
      </c>
      <c r="AI3" t="n">
        <v>0</v>
      </c>
      <c r="AJ3" t="n">
        <v>0</v>
      </c>
      <c r="AK3" t="n">
        <v>0</v>
      </c>
      <c r="AL3" t="n">
        <v>0</v>
      </c>
      <c r="AM3" t="n">
        <v>0</v>
      </c>
      <c r="AN3" t="n">
        <v>0</v>
      </c>
      <c r="AO3" t="n">
        <v>0</v>
      </c>
      <c r="AP3" t="inlineStr">
        <is>
          <t>Yes</t>
        </is>
      </c>
      <c r="AQ3" t="inlineStr">
        <is>
          <t>No</t>
        </is>
      </c>
      <c r="AR3">
        <f>HYPERLINK("http://catalog.hathitrust.org/Record/009780186","HathiTrust Record")</f>
        <v/>
      </c>
      <c r="AS3">
        <f>HYPERLINK("https://creighton-primo.hosted.exlibrisgroup.com/primo-explore/search?tab=default_tab&amp;search_scope=EVERYTHING&amp;vid=01CRU&amp;lang=en_US&amp;offset=0&amp;query=any,contains,991001556789702656","Catalog Record")</f>
        <v/>
      </c>
      <c r="AT3">
        <f>HYPERLINK("http://www.worldcat.org/oclc/20268186","WorldCat Record")</f>
        <v/>
      </c>
      <c r="AU3" t="inlineStr">
        <is>
          <t>3947060320:eng</t>
        </is>
      </c>
      <c r="AV3" t="inlineStr">
        <is>
          <t>20268186</t>
        </is>
      </c>
      <c r="AW3" t="inlineStr">
        <is>
          <t>991001556789702656</t>
        </is>
      </c>
      <c r="AX3" t="inlineStr">
        <is>
          <t>991001556789702656</t>
        </is>
      </c>
      <c r="AY3" t="inlineStr">
        <is>
          <t>2262337810002656</t>
        </is>
      </c>
      <c r="AZ3" t="inlineStr">
        <is>
          <t>BOOK</t>
        </is>
      </c>
      <c r="BC3" t="inlineStr">
        <is>
          <t>32285003244653</t>
        </is>
      </c>
      <c r="BD3" t="inlineStr">
        <is>
          <t>893809099</t>
        </is>
      </c>
    </row>
    <row r="4">
      <c r="A4" t="inlineStr">
        <is>
          <t>No</t>
        </is>
      </c>
      <c r="B4" t="inlineStr">
        <is>
          <t>PF3065 .B44 1987</t>
        </is>
      </c>
      <c r="C4" t="inlineStr">
        <is>
          <t>0                      PF 3065000B  44          1987</t>
        </is>
      </c>
      <c r="D4" t="inlineStr">
        <is>
          <t>Miteinander reden lernen : Sprechspiele im Unterricht / Helma Behme ; unter Mitarbeit von Michael Koenig als Illustrator.</t>
        </is>
      </c>
      <c r="F4" t="inlineStr">
        <is>
          <t>No</t>
        </is>
      </c>
      <c r="G4" t="inlineStr">
        <is>
          <t>1</t>
        </is>
      </c>
      <c r="H4" t="inlineStr">
        <is>
          <t>No</t>
        </is>
      </c>
      <c r="I4" t="inlineStr">
        <is>
          <t>No</t>
        </is>
      </c>
      <c r="J4" t="inlineStr">
        <is>
          <t>0</t>
        </is>
      </c>
      <c r="K4" t="inlineStr">
        <is>
          <t>Behme, Helma.</t>
        </is>
      </c>
      <c r="L4" t="inlineStr">
        <is>
          <t>München : Iudicium Verlag, c1987.</t>
        </is>
      </c>
      <c r="M4" t="inlineStr">
        <is>
          <t>1987</t>
        </is>
      </c>
      <c r="N4" t="inlineStr">
        <is>
          <t>2. Aufl.</t>
        </is>
      </c>
      <c r="O4" t="inlineStr">
        <is>
          <t>ger</t>
        </is>
      </c>
      <c r="P4" t="inlineStr">
        <is>
          <t xml:space="preserve">gw </t>
        </is>
      </c>
      <c r="Q4" t="inlineStr">
        <is>
          <t>Studium Deutsch als Fremdsprache-Sprachdidaktik ; Bd. 4</t>
        </is>
      </c>
      <c r="R4" t="inlineStr">
        <is>
          <t xml:space="preserve">PF </t>
        </is>
      </c>
      <c r="S4" t="n">
        <v>3</v>
      </c>
      <c r="T4" t="n">
        <v>3</v>
      </c>
      <c r="U4" t="inlineStr">
        <is>
          <t>1995-09-13</t>
        </is>
      </c>
      <c r="V4" t="inlineStr">
        <is>
          <t>1995-09-13</t>
        </is>
      </c>
      <c r="W4" t="inlineStr">
        <is>
          <t>1993-04-27</t>
        </is>
      </c>
      <c r="X4" t="inlineStr">
        <is>
          <t>1993-04-27</t>
        </is>
      </c>
      <c r="Y4" t="n">
        <v>15</v>
      </c>
      <c r="Z4" t="n">
        <v>4</v>
      </c>
      <c r="AA4" t="n">
        <v>11</v>
      </c>
      <c r="AB4" t="n">
        <v>1</v>
      </c>
      <c r="AC4" t="n">
        <v>1</v>
      </c>
      <c r="AD4" t="n">
        <v>1</v>
      </c>
      <c r="AE4" t="n">
        <v>1</v>
      </c>
      <c r="AF4" t="n">
        <v>0</v>
      </c>
      <c r="AG4" t="n">
        <v>0</v>
      </c>
      <c r="AH4" t="n">
        <v>1</v>
      </c>
      <c r="AI4" t="n">
        <v>1</v>
      </c>
      <c r="AJ4" t="n">
        <v>1</v>
      </c>
      <c r="AK4" t="n">
        <v>1</v>
      </c>
      <c r="AL4" t="n">
        <v>0</v>
      </c>
      <c r="AM4" t="n">
        <v>0</v>
      </c>
      <c r="AN4" t="n">
        <v>0</v>
      </c>
      <c r="AO4" t="n">
        <v>0</v>
      </c>
      <c r="AP4" t="inlineStr">
        <is>
          <t>No</t>
        </is>
      </c>
      <c r="AQ4" t="inlineStr">
        <is>
          <t>No</t>
        </is>
      </c>
      <c r="AS4">
        <f>HYPERLINK("https://creighton-primo.hosted.exlibrisgroup.com/primo-explore/search?tab=default_tab&amp;search_scope=EVERYTHING&amp;vid=01CRU&amp;lang=en_US&amp;offset=0&amp;query=any,contains,991001183419702656","Catalog Record")</f>
        <v/>
      </c>
      <c r="AT4">
        <f>HYPERLINK("http://www.worldcat.org/oclc/17196534","WorldCat Record")</f>
        <v/>
      </c>
      <c r="AU4" t="inlineStr">
        <is>
          <t>61363698:ger</t>
        </is>
      </c>
      <c r="AV4" t="inlineStr">
        <is>
          <t>17196534</t>
        </is>
      </c>
      <c r="AW4" t="inlineStr">
        <is>
          <t>991001183419702656</t>
        </is>
      </c>
      <c r="AX4" t="inlineStr">
        <is>
          <t>991001183419702656</t>
        </is>
      </c>
      <c r="AY4" t="inlineStr">
        <is>
          <t>2264942970002656</t>
        </is>
      </c>
      <c r="AZ4" t="inlineStr">
        <is>
          <t>BOOK</t>
        </is>
      </c>
      <c r="BB4" t="inlineStr">
        <is>
          <t>9783891291047</t>
        </is>
      </c>
      <c r="BC4" t="inlineStr">
        <is>
          <t>32285001647873</t>
        </is>
      </c>
      <c r="BD4" t="inlineStr">
        <is>
          <t>893496892</t>
        </is>
      </c>
    </row>
    <row r="5">
      <c r="A5" t="inlineStr">
        <is>
          <t>No</t>
        </is>
      </c>
      <c r="B5" t="inlineStr">
        <is>
          <t>PF3068.G8 R5 1988</t>
        </is>
      </c>
      <c r="C5" t="inlineStr">
        <is>
          <t>0                      PF 3068000G  8                  R  5           1988</t>
        </is>
      </c>
      <c r="D5" t="inlineStr">
        <is>
          <t>Teaching German : a practical guide / Wilga M. Rivers, Kathleen Mitchell Dell'Orto, Vincent J. Dell'Orto.</t>
        </is>
      </c>
      <c r="F5" t="inlineStr">
        <is>
          <t>No</t>
        </is>
      </c>
      <c r="G5" t="inlineStr">
        <is>
          <t>1</t>
        </is>
      </c>
      <c r="H5" t="inlineStr">
        <is>
          <t>No</t>
        </is>
      </c>
      <c r="I5" t="inlineStr">
        <is>
          <t>No</t>
        </is>
      </c>
      <c r="J5" t="inlineStr">
        <is>
          <t>0</t>
        </is>
      </c>
      <c r="K5" t="inlineStr">
        <is>
          <t>Rivers, Wilga M.</t>
        </is>
      </c>
      <c r="L5" t="inlineStr">
        <is>
          <t>Lincolnwood, Ill., U.S.A. : National Textbook Co., c1988.</t>
        </is>
      </c>
      <c r="M5" t="inlineStr">
        <is>
          <t>1988</t>
        </is>
      </c>
      <c r="N5" t="inlineStr">
        <is>
          <t>2nd ed.</t>
        </is>
      </c>
      <c r="O5" t="inlineStr">
        <is>
          <t>eng</t>
        </is>
      </c>
      <c r="P5" t="inlineStr">
        <is>
          <t>ilu</t>
        </is>
      </c>
      <c r="R5" t="inlineStr">
        <is>
          <t xml:space="preserve">PF </t>
        </is>
      </c>
      <c r="S5" t="n">
        <v>3</v>
      </c>
      <c r="T5" t="n">
        <v>3</v>
      </c>
      <c r="U5" t="inlineStr">
        <is>
          <t>1993-08-06</t>
        </is>
      </c>
      <c r="V5" t="inlineStr">
        <is>
          <t>1993-08-06</t>
        </is>
      </c>
      <c r="W5" t="inlineStr">
        <is>
          <t>1993-04-27</t>
        </is>
      </c>
      <c r="X5" t="inlineStr">
        <is>
          <t>1993-04-27</t>
        </is>
      </c>
      <c r="Y5" t="n">
        <v>154</v>
      </c>
      <c r="Z5" t="n">
        <v>143</v>
      </c>
      <c r="AA5" t="n">
        <v>144</v>
      </c>
      <c r="AB5" t="n">
        <v>3</v>
      </c>
      <c r="AC5" t="n">
        <v>3</v>
      </c>
      <c r="AD5" t="n">
        <v>11</v>
      </c>
      <c r="AE5" t="n">
        <v>11</v>
      </c>
      <c r="AF5" t="n">
        <v>5</v>
      </c>
      <c r="AG5" t="n">
        <v>5</v>
      </c>
      <c r="AH5" t="n">
        <v>2</v>
      </c>
      <c r="AI5" t="n">
        <v>2</v>
      </c>
      <c r="AJ5" t="n">
        <v>5</v>
      </c>
      <c r="AK5" t="n">
        <v>5</v>
      </c>
      <c r="AL5" t="n">
        <v>2</v>
      </c>
      <c r="AM5" t="n">
        <v>2</v>
      </c>
      <c r="AN5" t="n">
        <v>0</v>
      </c>
      <c r="AO5" t="n">
        <v>0</v>
      </c>
      <c r="AP5" t="inlineStr">
        <is>
          <t>No</t>
        </is>
      </c>
      <c r="AQ5" t="inlineStr">
        <is>
          <t>No</t>
        </is>
      </c>
      <c r="AS5">
        <f>HYPERLINK("https://creighton-primo.hosted.exlibrisgroup.com/primo-explore/search?tab=default_tab&amp;search_scope=EVERYTHING&amp;vid=01CRU&amp;lang=en_US&amp;offset=0&amp;query=any,contains,991001216139702656","Catalog Record")</f>
        <v/>
      </c>
      <c r="AT5">
        <f>HYPERLINK("http://www.worldcat.org/oclc/17425476","WorldCat Record")</f>
        <v/>
      </c>
      <c r="AU5" t="inlineStr">
        <is>
          <t>3901147193:eng</t>
        </is>
      </c>
      <c r="AV5" t="inlineStr">
        <is>
          <t>17425476</t>
        </is>
      </c>
      <c r="AW5" t="inlineStr">
        <is>
          <t>991001216139702656</t>
        </is>
      </c>
      <c r="AX5" t="inlineStr">
        <is>
          <t>991001216139702656</t>
        </is>
      </c>
      <c r="AY5" t="inlineStr">
        <is>
          <t>2266958770002656</t>
        </is>
      </c>
      <c r="AZ5" t="inlineStr">
        <is>
          <t>BOOK</t>
        </is>
      </c>
      <c r="BB5" t="inlineStr">
        <is>
          <t>9780844224015</t>
        </is>
      </c>
      <c r="BC5" t="inlineStr">
        <is>
          <t>32285001647899</t>
        </is>
      </c>
      <c r="BD5" t="inlineStr">
        <is>
          <t>893872376</t>
        </is>
      </c>
    </row>
    <row r="6">
      <c r="A6" t="inlineStr">
        <is>
          <t>No</t>
        </is>
      </c>
      <c r="B6" t="inlineStr">
        <is>
          <t>PF3068.U6 G38 2003</t>
        </is>
      </c>
      <c r="C6" t="inlineStr">
        <is>
          <t>0                      PF 3068000U  6                  G  38          2003</t>
        </is>
      </c>
      <c r="D6" t="inlineStr">
        <is>
          <t>German studies in the United States : a historical handbook / edited by Peter Uwe Hohendahl.</t>
        </is>
      </c>
      <c r="F6" t="inlineStr">
        <is>
          <t>No</t>
        </is>
      </c>
      <c r="G6" t="inlineStr">
        <is>
          <t>1</t>
        </is>
      </c>
      <c r="H6" t="inlineStr">
        <is>
          <t>No</t>
        </is>
      </c>
      <c r="I6" t="inlineStr">
        <is>
          <t>No</t>
        </is>
      </c>
      <c r="J6" t="inlineStr">
        <is>
          <t>0</t>
        </is>
      </c>
      <c r="L6" t="inlineStr">
        <is>
          <t>New York : Modern Language Association of America, 2003.</t>
        </is>
      </c>
      <c r="M6" t="inlineStr">
        <is>
          <t>2003</t>
        </is>
      </c>
      <c r="O6" t="inlineStr">
        <is>
          <t>eng</t>
        </is>
      </c>
      <c r="P6" t="inlineStr">
        <is>
          <t>nyu</t>
        </is>
      </c>
      <c r="R6" t="inlineStr">
        <is>
          <t xml:space="preserve">PF </t>
        </is>
      </c>
      <c r="S6" t="n">
        <v>3</v>
      </c>
      <c r="T6" t="n">
        <v>3</v>
      </c>
      <c r="U6" t="inlineStr">
        <is>
          <t>2006-10-03</t>
        </is>
      </c>
      <c r="V6" t="inlineStr">
        <is>
          <t>2006-10-03</t>
        </is>
      </c>
      <c r="W6" t="inlineStr">
        <is>
          <t>2004-05-19</t>
        </is>
      </c>
      <c r="X6" t="inlineStr">
        <is>
          <t>2004-05-19</t>
        </is>
      </c>
      <c r="Y6" t="n">
        <v>236</v>
      </c>
      <c r="Z6" t="n">
        <v>206</v>
      </c>
      <c r="AA6" t="n">
        <v>211</v>
      </c>
      <c r="AB6" t="n">
        <v>2</v>
      </c>
      <c r="AC6" t="n">
        <v>2</v>
      </c>
      <c r="AD6" t="n">
        <v>14</v>
      </c>
      <c r="AE6" t="n">
        <v>15</v>
      </c>
      <c r="AF6" t="n">
        <v>6</v>
      </c>
      <c r="AG6" t="n">
        <v>7</v>
      </c>
      <c r="AH6" t="n">
        <v>7</v>
      </c>
      <c r="AI6" t="n">
        <v>7</v>
      </c>
      <c r="AJ6" t="n">
        <v>4</v>
      </c>
      <c r="AK6" t="n">
        <v>5</v>
      </c>
      <c r="AL6" t="n">
        <v>1</v>
      </c>
      <c r="AM6" t="n">
        <v>1</v>
      </c>
      <c r="AN6" t="n">
        <v>0</v>
      </c>
      <c r="AO6" t="n">
        <v>0</v>
      </c>
      <c r="AP6" t="inlineStr">
        <is>
          <t>No</t>
        </is>
      </c>
      <c r="AQ6" t="inlineStr">
        <is>
          <t>No</t>
        </is>
      </c>
      <c r="AS6">
        <f>HYPERLINK("https://creighton-primo.hosted.exlibrisgroup.com/primo-explore/search?tab=default_tab&amp;search_scope=EVERYTHING&amp;vid=01CRU&amp;lang=en_US&amp;offset=0&amp;query=any,contains,991004267339702656","Catalog Record")</f>
        <v/>
      </c>
      <c r="AT6">
        <f>HYPERLINK("http://www.worldcat.org/oclc/52860079","WorldCat Record")</f>
        <v/>
      </c>
      <c r="AU6" t="inlineStr">
        <is>
          <t>905399311:eng</t>
        </is>
      </c>
      <c r="AV6" t="inlineStr">
        <is>
          <t>52860079</t>
        </is>
      </c>
      <c r="AW6" t="inlineStr">
        <is>
          <t>991004267339702656</t>
        </is>
      </c>
      <c r="AX6" t="inlineStr">
        <is>
          <t>991004267339702656</t>
        </is>
      </c>
      <c r="AY6" t="inlineStr">
        <is>
          <t>2257757680002656</t>
        </is>
      </c>
      <c r="AZ6" t="inlineStr">
        <is>
          <t>BOOK</t>
        </is>
      </c>
      <c r="BB6" t="inlineStr">
        <is>
          <t>9780873529884</t>
        </is>
      </c>
      <c r="BC6" t="inlineStr">
        <is>
          <t>32285004906391</t>
        </is>
      </c>
      <c r="BD6" t="inlineStr">
        <is>
          <t>893229136</t>
        </is>
      </c>
    </row>
    <row r="7">
      <c r="A7" t="inlineStr">
        <is>
          <t>No</t>
        </is>
      </c>
      <c r="B7" t="inlineStr">
        <is>
          <t>PF3068.U6 R4</t>
        </is>
      </c>
      <c r="C7" t="inlineStr">
        <is>
          <t>0                      PF 3068000U  6                  R  4</t>
        </is>
      </c>
      <c r="D7" t="inlineStr">
        <is>
          <t>The teaching of German : problems and methods : anthology / edited by Eberhard Reichmann, in collaboration with Nelson Brooks [and others.</t>
        </is>
      </c>
      <c r="F7" t="inlineStr">
        <is>
          <t>No</t>
        </is>
      </c>
      <c r="G7" t="inlineStr">
        <is>
          <t>1</t>
        </is>
      </c>
      <c r="H7" t="inlineStr">
        <is>
          <t>No</t>
        </is>
      </c>
      <c r="I7" t="inlineStr">
        <is>
          <t>No</t>
        </is>
      </c>
      <c r="J7" t="inlineStr">
        <is>
          <t>0</t>
        </is>
      </c>
      <c r="K7" t="inlineStr">
        <is>
          <t>Reichmann, Eberhard compiler.</t>
        </is>
      </c>
      <c r="L7" t="inlineStr">
        <is>
          <t>Philadelphia] : Teaching Aid Project, National Carl Schurz Association, [c1970]</t>
        </is>
      </c>
      <c r="M7" t="inlineStr">
        <is>
          <t>1970</t>
        </is>
      </c>
      <c r="O7" t="inlineStr">
        <is>
          <t>eng</t>
        </is>
      </c>
      <c r="P7" t="inlineStr">
        <is>
          <t>pau</t>
        </is>
      </c>
      <c r="R7" t="inlineStr">
        <is>
          <t xml:space="preserve">PF </t>
        </is>
      </c>
      <c r="S7" t="n">
        <v>3</v>
      </c>
      <c r="T7" t="n">
        <v>3</v>
      </c>
      <c r="U7" t="inlineStr">
        <is>
          <t>1993-08-06</t>
        </is>
      </c>
      <c r="V7" t="inlineStr">
        <is>
          <t>1993-08-06</t>
        </is>
      </c>
      <c r="W7" t="inlineStr">
        <is>
          <t>1991-10-21</t>
        </is>
      </c>
      <c r="X7" t="inlineStr">
        <is>
          <t>1991-10-21</t>
        </is>
      </c>
      <c r="Y7" t="n">
        <v>278</v>
      </c>
      <c r="Z7" t="n">
        <v>258</v>
      </c>
      <c r="AA7" t="n">
        <v>273</v>
      </c>
      <c r="AB7" t="n">
        <v>2</v>
      </c>
      <c r="AC7" t="n">
        <v>2</v>
      </c>
      <c r="AD7" t="n">
        <v>16</v>
      </c>
      <c r="AE7" t="n">
        <v>16</v>
      </c>
      <c r="AF7" t="n">
        <v>4</v>
      </c>
      <c r="AG7" t="n">
        <v>4</v>
      </c>
      <c r="AH7" t="n">
        <v>5</v>
      </c>
      <c r="AI7" t="n">
        <v>5</v>
      </c>
      <c r="AJ7" t="n">
        <v>10</v>
      </c>
      <c r="AK7" t="n">
        <v>10</v>
      </c>
      <c r="AL7" t="n">
        <v>1</v>
      </c>
      <c r="AM7" t="n">
        <v>1</v>
      </c>
      <c r="AN7" t="n">
        <v>0</v>
      </c>
      <c r="AO7" t="n">
        <v>0</v>
      </c>
      <c r="AP7" t="inlineStr">
        <is>
          <t>No</t>
        </is>
      </c>
      <c r="AQ7" t="inlineStr">
        <is>
          <t>No</t>
        </is>
      </c>
      <c r="AS7">
        <f>HYPERLINK("https://creighton-primo.hosted.exlibrisgroup.com/primo-explore/search?tab=default_tab&amp;search_scope=EVERYTHING&amp;vid=01CRU&amp;lang=en_US&amp;offset=0&amp;query=any,contains,991001237189702656","Catalog Record")</f>
        <v/>
      </c>
      <c r="AT7">
        <f>HYPERLINK("http://www.worldcat.org/oclc/206766","WorldCat Record")</f>
        <v/>
      </c>
      <c r="AU7" t="inlineStr">
        <is>
          <t>314745747:eng</t>
        </is>
      </c>
      <c r="AV7" t="inlineStr">
        <is>
          <t>206766</t>
        </is>
      </c>
      <c r="AW7" t="inlineStr">
        <is>
          <t>991001237189702656</t>
        </is>
      </c>
      <c r="AX7" t="inlineStr">
        <is>
          <t>991001237189702656</t>
        </is>
      </c>
      <c r="AY7" t="inlineStr">
        <is>
          <t>2254996630002656</t>
        </is>
      </c>
      <c r="AZ7" t="inlineStr">
        <is>
          <t>BOOK</t>
        </is>
      </c>
      <c r="BC7" t="inlineStr">
        <is>
          <t>32285000775261</t>
        </is>
      </c>
      <c r="BD7" t="inlineStr">
        <is>
          <t>893516019</t>
        </is>
      </c>
    </row>
    <row r="8">
      <c r="A8" t="inlineStr">
        <is>
          <t>No</t>
        </is>
      </c>
      <c r="B8" t="inlineStr">
        <is>
          <t>PF3068.U6 T4 1988</t>
        </is>
      </c>
      <c r="C8" t="inlineStr">
        <is>
          <t>0                      PF 3068000U  6                  T  4           1988</t>
        </is>
      </c>
      <c r="D8" t="inlineStr">
        <is>
          <t>Teaching German in America : prolegomena to a history / edited by David P. Benseler, Walter F.W. Lohnes, Valters Nollendorfs.</t>
        </is>
      </c>
      <c r="F8" t="inlineStr">
        <is>
          <t>No</t>
        </is>
      </c>
      <c r="G8" t="inlineStr">
        <is>
          <t>1</t>
        </is>
      </c>
      <c r="H8" t="inlineStr">
        <is>
          <t>No</t>
        </is>
      </c>
      <c r="I8" t="inlineStr">
        <is>
          <t>No</t>
        </is>
      </c>
      <c r="J8" t="inlineStr">
        <is>
          <t>0</t>
        </is>
      </c>
      <c r="L8" t="inlineStr">
        <is>
          <t>Madison, Wis. : Published for Monatshefte, The University of Wisconsin Press, c1988.</t>
        </is>
      </c>
      <c r="M8" t="inlineStr">
        <is>
          <t>1988</t>
        </is>
      </c>
      <c r="O8" t="inlineStr">
        <is>
          <t>eng</t>
        </is>
      </c>
      <c r="P8" t="inlineStr">
        <is>
          <t>wiu</t>
        </is>
      </c>
      <c r="Q8" t="inlineStr">
        <is>
          <t>Monatshefte occasional volumes ; no. 7</t>
        </is>
      </c>
      <c r="R8" t="inlineStr">
        <is>
          <t xml:space="preserve">PF </t>
        </is>
      </c>
      <c r="S8" t="n">
        <v>1</v>
      </c>
      <c r="T8" t="n">
        <v>1</v>
      </c>
      <c r="U8" t="inlineStr">
        <is>
          <t>2002-07-25</t>
        </is>
      </c>
      <c r="V8" t="inlineStr">
        <is>
          <t>2002-07-25</t>
        </is>
      </c>
      <c r="W8" t="inlineStr">
        <is>
          <t>1993-04-27</t>
        </is>
      </c>
      <c r="X8" t="inlineStr">
        <is>
          <t>1993-04-27</t>
        </is>
      </c>
      <c r="Y8" t="n">
        <v>197</v>
      </c>
      <c r="Z8" t="n">
        <v>177</v>
      </c>
      <c r="AA8" t="n">
        <v>179</v>
      </c>
      <c r="AB8" t="n">
        <v>1</v>
      </c>
      <c r="AC8" t="n">
        <v>1</v>
      </c>
      <c r="AD8" t="n">
        <v>6</v>
      </c>
      <c r="AE8" t="n">
        <v>6</v>
      </c>
      <c r="AF8" t="n">
        <v>1</v>
      </c>
      <c r="AG8" t="n">
        <v>1</v>
      </c>
      <c r="AH8" t="n">
        <v>3</v>
      </c>
      <c r="AI8" t="n">
        <v>3</v>
      </c>
      <c r="AJ8" t="n">
        <v>4</v>
      </c>
      <c r="AK8" t="n">
        <v>4</v>
      </c>
      <c r="AL8" t="n">
        <v>0</v>
      </c>
      <c r="AM8" t="n">
        <v>0</v>
      </c>
      <c r="AN8" t="n">
        <v>0</v>
      </c>
      <c r="AO8" t="n">
        <v>0</v>
      </c>
      <c r="AP8" t="inlineStr">
        <is>
          <t>No</t>
        </is>
      </c>
      <c r="AQ8" t="inlineStr">
        <is>
          <t>Yes</t>
        </is>
      </c>
      <c r="AR8">
        <f>HYPERLINK("http://catalog.hathitrust.org/Record/001072627","HathiTrust Record")</f>
        <v/>
      </c>
      <c r="AS8">
        <f>HYPERLINK("https://creighton-primo.hosted.exlibrisgroup.com/primo-explore/search?tab=default_tab&amp;search_scope=EVERYTHING&amp;vid=01CRU&amp;lang=en_US&amp;offset=0&amp;query=any,contains,991001236619702656","Catalog Record")</f>
        <v/>
      </c>
      <c r="AT8">
        <f>HYPERLINK("http://www.worldcat.org/oclc/17551614","WorldCat Record")</f>
        <v/>
      </c>
      <c r="AU8" t="inlineStr">
        <is>
          <t>449228303:eng</t>
        </is>
      </c>
      <c r="AV8" t="inlineStr">
        <is>
          <t>17551614</t>
        </is>
      </c>
      <c r="AW8" t="inlineStr">
        <is>
          <t>991001236619702656</t>
        </is>
      </c>
      <c r="AX8" t="inlineStr">
        <is>
          <t>991001236619702656</t>
        </is>
      </c>
      <c r="AY8" t="inlineStr">
        <is>
          <t>2263298640002656</t>
        </is>
      </c>
      <c r="AZ8" t="inlineStr">
        <is>
          <t>BOOK</t>
        </is>
      </c>
      <c r="BB8" t="inlineStr">
        <is>
          <t>9780299970239</t>
        </is>
      </c>
      <c r="BC8" t="inlineStr">
        <is>
          <t>32285001647915</t>
        </is>
      </c>
      <c r="BD8" t="inlineStr">
        <is>
          <t>893608686</t>
        </is>
      </c>
    </row>
    <row r="9">
      <c r="A9" t="inlineStr">
        <is>
          <t>No</t>
        </is>
      </c>
      <c r="B9" t="inlineStr">
        <is>
          <t>PF3074 .K613 2006</t>
        </is>
      </c>
      <c r="C9" t="inlineStr">
        <is>
          <t>0                      PF 3074000K  613         2006</t>
        </is>
      </c>
      <c r="D9" t="inlineStr">
        <is>
          <t>The language of the Third Reich : LTI-Lingua Tertii Imperii : a philologist's notebook / Victor Klemperer ; translated by Martin Brady.</t>
        </is>
      </c>
      <c r="F9" t="inlineStr">
        <is>
          <t>No</t>
        </is>
      </c>
      <c r="G9" t="inlineStr">
        <is>
          <t>1</t>
        </is>
      </c>
      <c r="H9" t="inlineStr">
        <is>
          <t>No</t>
        </is>
      </c>
      <c r="I9" t="inlineStr">
        <is>
          <t>No</t>
        </is>
      </c>
      <c r="J9" t="inlineStr">
        <is>
          <t>0</t>
        </is>
      </c>
      <c r="K9" t="inlineStr">
        <is>
          <t>Klemperer, Victor, 1881-1960.</t>
        </is>
      </c>
      <c r="L9" t="inlineStr">
        <is>
          <t>London ; New York : Continuum, 2006.</t>
        </is>
      </c>
      <c r="M9" t="inlineStr">
        <is>
          <t>2006</t>
        </is>
      </c>
      <c r="O9" t="inlineStr">
        <is>
          <t>eng</t>
        </is>
      </c>
      <c r="P9" t="inlineStr">
        <is>
          <t>enk</t>
        </is>
      </c>
      <c r="Q9" t="inlineStr">
        <is>
          <t>Continuum impacts</t>
        </is>
      </c>
      <c r="R9" t="inlineStr">
        <is>
          <t xml:space="preserve">PF </t>
        </is>
      </c>
      <c r="S9" t="n">
        <v>4</v>
      </c>
      <c r="T9" t="n">
        <v>4</v>
      </c>
      <c r="U9" t="inlineStr">
        <is>
          <t>2010-03-22</t>
        </is>
      </c>
      <c r="V9" t="inlineStr">
        <is>
          <t>2010-03-22</t>
        </is>
      </c>
      <c r="W9" t="inlineStr">
        <is>
          <t>2006-12-26</t>
        </is>
      </c>
      <c r="X9" t="inlineStr">
        <is>
          <t>2006-12-26</t>
        </is>
      </c>
      <c r="Y9" t="n">
        <v>121</v>
      </c>
      <c r="Z9" t="n">
        <v>66</v>
      </c>
      <c r="AA9" t="n">
        <v>229</v>
      </c>
      <c r="AB9" t="n">
        <v>3</v>
      </c>
      <c r="AC9" t="n">
        <v>4</v>
      </c>
      <c r="AD9" t="n">
        <v>6</v>
      </c>
      <c r="AE9" t="n">
        <v>13</v>
      </c>
      <c r="AF9" t="n">
        <v>3</v>
      </c>
      <c r="AG9" t="n">
        <v>5</v>
      </c>
      <c r="AH9" t="n">
        <v>0</v>
      </c>
      <c r="AI9" t="n">
        <v>3</v>
      </c>
      <c r="AJ9" t="n">
        <v>2</v>
      </c>
      <c r="AK9" t="n">
        <v>3</v>
      </c>
      <c r="AL9" t="n">
        <v>2</v>
      </c>
      <c r="AM9" t="n">
        <v>3</v>
      </c>
      <c r="AN9" t="n">
        <v>0</v>
      </c>
      <c r="AO9" t="n">
        <v>0</v>
      </c>
      <c r="AP9" t="inlineStr">
        <is>
          <t>No</t>
        </is>
      </c>
      <c r="AQ9" t="inlineStr">
        <is>
          <t>Yes</t>
        </is>
      </c>
      <c r="AR9">
        <f>HYPERLINK("http://catalog.hathitrust.org/Record/005251031","HathiTrust Record")</f>
        <v/>
      </c>
      <c r="AS9">
        <f>HYPERLINK("https://creighton-primo.hosted.exlibrisgroup.com/primo-explore/search?tab=default_tab&amp;search_scope=EVERYTHING&amp;vid=01CRU&amp;lang=en_US&amp;offset=0&amp;query=any,contains,991004987389702656","Catalog Record")</f>
        <v/>
      </c>
      <c r="AT9">
        <f>HYPERLINK("http://www.worldcat.org/oclc/63400135","WorldCat Record")</f>
        <v/>
      </c>
      <c r="AU9" t="inlineStr">
        <is>
          <t>4365475:eng</t>
        </is>
      </c>
      <c r="AV9" t="inlineStr">
        <is>
          <t>63400135</t>
        </is>
      </c>
      <c r="AW9" t="inlineStr">
        <is>
          <t>991004987389702656</t>
        </is>
      </c>
      <c r="AX9" t="inlineStr">
        <is>
          <t>991004987389702656</t>
        </is>
      </c>
      <c r="AY9" t="inlineStr">
        <is>
          <t>2265887120002656</t>
        </is>
      </c>
      <c r="AZ9" t="inlineStr">
        <is>
          <t>BOOK</t>
        </is>
      </c>
      <c r="BB9" t="inlineStr">
        <is>
          <t>9780826491305</t>
        </is>
      </c>
      <c r="BC9" t="inlineStr">
        <is>
          <t>32285005267363</t>
        </is>
      </c>
      <c r="BD9" t="inlineStr">
        <is>
          <t>893713279</t>
        </is>
      </c>
    </row>
    <row r="10">
      <c r="A10" t="inlineStr">
        <is>
          <t>No</t>
        </is>
      </c>
      <c r="B10" t="inlineStr">
        <is>
          <t>PF3074.73 .N37 2000</t>
        </is>
      </c>
      <c r="C10" t="inlineStr">
        <is>
          <t>0                      PF 3074730N  37          2000</t>
        </is>
      </c>
      <c r="D10" t="inlineStr">
        <is>
          <t>Nation und Sprache : die Diskussion ihres Verhältnisses in Geschichte und Gegenwart / herausgegeben von Andreas Gardt.</t>
        </is>
      </c>
      <c r="F10" t="inlineStr">
        <is>
          <t>No</t>
        </is>
      </c>
      <c r="G10" t="inlineStr">
        <is>
          <t>1</t>
        </is>
      </c>
      <c r="H10" t="inlineStr">
        <is>
          <t>No</t>
        </is>
      </c>
      <c r="I10" t="inlineStr">
        <is>
          <t>No</t>
        </is>
      </c>
      <c r="J10" t="inlineStr">
        <is>
          <t>0</t>
        </is>
      </c>
      <c r="L10" t="inlineStr">
        <is>
          <t>Berlin ; New York : Walter de Gruyter, 2000.</t>
        </is>
      </c>
      <c r="M10" t="inlineStr">
        <is>
          <t>2000</t>
        </is>
      </c>
      <c r="O10" t="inlineStr">
        <is>
          <t>ger</t>
        </is>
      </c>
      <c r="P10" t="inlineStr">
        <is>
          <t xml:space="preserve">gw </t>
        </is>
      </c>
      <c r="R10" t="inlineStr">
        <is>
          <t xml:space="preserve">PF </t>
        </is>
      </c>
      <c r="S10" t="n">
        <v>2</v>
      </c>
      <c r="T10" t="n">
        <v>2</v>
      </c>
      <c r="U10" t="inlineStr">
        <is>
          <t>2001-05-16</t>
        </is>
      </c>
      <c r="V10" t="inlineStr">
        <is>
          <t>2001-05-16</t>
        </is>
      </c>
      <c r="W10" t="inlineStr">
        <is>
          <t>2001-04-04</t>
        </is>
      </c>
      <c r="X10" t="inlineStr">
        <is>
          <t>2001-04-04</t>
        </is>
      </c>
      <c r="Y10" t="n">
        <v>139</v>
      </c>
      <c r="Z10" t="n">
        <v>70</v>
      </c>
      <c r="AA10" t="n">
        <v>85</v>
      </c>
      <c r="AB10" t="n">
        <v>2</v>
      </c>
      <c r="AC10" t="n">
        <v>2</v>
      </c>
      <c r="AD10" t="n">
        <v>2</v>
      </c>
      <c r="AE10" t="n">
        <v>2</v>
      </c>
      <c r="AF10" t="n">
        <v>0</v>
      </c>
      <c r="AG10" t="n">
        <v>0</v>
      </c>
      <c r="AH10" t="n">
        <v>0</v>
      </c>
      <c r="AI10" t="n">
        <v>0</v>
      </c>
      <c r="AJ10" t="n">
        <v>1</v>
      </c>
      <c r="AK10" t="n">
        <v>1</v>
      </c>
      <c r="AL10" t="n">
        <v>1</v>
      </c>
      <c r="AM10" t="n">
        <v>1</v>
      </c>
      <c r="AN10" t="n">
        <v>0</v>
      </c>
      <c r="AO10" t="n">
        <v>0</v>
      </c>
      <c r="AP10" t="inlineStr">
        <is>
          <t>No</t>
        </is>
      </c>
      <c r="AQ10" t="inlineStr">
        <is>
          <t>Yes</t>
        </is>
      </c>
      <c r="AR10">
        <f>HYPERLINK("http://catalog.hathitrust.org/Record/004164647","HathiTrust Record")</f>
        <v/>
      </c>
      <c r="AS10">
        <f>HYPERLINK("https://creighton-primo.hosted.exlibrisgroup.com/primo-explore/search?tab=default_tab&amp;search_scope=EVERYTHING&amp;vid=01CRU&amp;lang=en_US&amp;offset=0&amp;query=any,contains,991003476279702656","Catalog Record")</f>
        <v/>
      </c>
      <c r="AT10">
        <f>HYPERLINK("http://www.worldcat.org/oclc/45109026","WorldCat Record")</f>
        <v/>
      </c>
      <c r="AU10" t="inlineStr">
        <is>
          <t>890920927:ger</t>
        </is>
      </c>
      <c r="AV10" t="inlineStr">
        <is>
          <t>45109026</t>
        </is>
      </c>
      <c r="AW10" t="inlineStr">
        <is>
          <t>991003476279702656</t>
        </is>
      </c>
      <c r="AX10" t="inlineStr">
        <is>
          <t>991003476279702656</t>
        </is>
      </c>
      <c r="AY10" t="inlineStr">
        <is>
          <t>2264703810002656</t>
        </is>
      </c>
      <c r="AZ10" t="inlineStr">
        <is>
          <t>BOOK</t>
        </is>
      </c>
      <c r="BB10" t="inlineStr">
        <is>
          <t>9783110148411</t>
        </is>
      </c>
      <c r="BC10" t="inlineStr">
        <is>
          <t>32285004309836</t>
        </is>
      </c>
      <c r="BD10" t="inlineStr">
        <is>
          <t>893592555</t>
        </is>
      </c>
    </row>
    <row r="11">
      <c r="A11" t="inlineStr">
        <is>
          <t>No</t>
        </is>
      </c>
      <c r="B11" t="inlineStr">
        <is>
          <t>PF3074.73 .W45 1999</t>
        </is>
      </c>
      <c r="C11" t="inlineStr">
        <is>
          <t>0                      PF 3074730W  45          1999</t>
        </is>
      </c>
      <c r="D11" t="inlineStr">
        <is>
          <t>Schaum's outline of German vocabulary / Edda Weiss ... [et al.].</t>
        </is>
      </c>
      <c r="F11" t="inlineStr">
        <is>
          <t>No</t>
        </is>
      </c>
      <c r="G11" t="inlineStr">
        <is>
          <t>1</t>
        </is>
      </c>
      <c r="H11" t="inlineStr">
        <is>
          <t>No</t>
        </is>
      </c>
      <c r="I11" t="inlineStr">
        <is>
          <t>No</t>
        </is>
      </c>
      <c r="J11" t="inlineStr">
        <is>
          <t>0</t>
        </is>
      </c>
      <c r="K11" t="inlineStr">
        <is>
          <t>Weiss, Edda.</t>
        </is>
      </c>
      <c r="L11" t="inlineStr">
        <is>
          <t>New York : McGraw-Hill, c1999.</t>
        </is>
      </c>
      <c r="M11" t="inlineStr">
        <is>
          <t>1999</t>
        </is>
      </c>
      <c r="N11" t="inlineStr">
        <is>
          <t>2nd ed.</t>
        </is>
      </c>
      <c r="O11" t="inlineStr">
        <is>
          <t>eng</t>
        </is>
      </c>
      <c r="P11" t="inlineStr">
        <is>
          <t>nyu</t>
        </is>
      </c>
      <c r="Q11" t="inlineStr">
        <is>
          <t>Schaum's outline series</t>
        </is>
      </c>
      <c r="R11" t="inlineStr">
        <is>
          <t xml:space="preserve">PF </t>
        </is>
      </c>
      <c r="S11" t="n">
        <v>3</v>
      </c>
      <c r="T11" t="n">
        <v>3</v>
      </c>
      <c r="U11" t="inlineStr">
        <is>
          <t>2005-01-11</t>
        </is>
      </c>
      <c r="V11" t="inlineStr">
        <is>
          <t>2005-01-11</t>
        </is>
      </c>
      <c r="W11" t="inlineStr">
        <is>
          <t>1998-11-04</t>
        </is>
      </c>
      <c r="X11" t="inlineStr">
        <is>
          <t>1998-11-04</t>
        </is>
      </c>
      <c r="Y11" t="n">
        <v>97</v>
      </c>
      <c r="Z11" t="n">
        <v>79</v>
      </c>
      <c r="AA11" t="n">
        <v>167</v>
      </c>
      <c r="AB11" t="n">
        <v>1</v>
      </c>
      <c r="AC11" t="n">
        <v>1</v>
      </c>
      <c r="AD11" t="n">
        <v>0</v>
      </c>
      <c r="AE11" t="n">
        <v>2</v>
      </c>
      <c r="AF11" t="n">
        <v>0</v>
      </c>
      <c r="AG11" t="n">
        <v>2</v>
      </c>
      <c r="AH11" t="n">
        <v>0</v>
      </c>
      <c r="AI11" t="n">
        <v>0</v>
      </c>
      <c r="AJ11" t="n">
        <v>0</v>
      </c>
      <c r="AK11" t="n">
        <v>0</v>
      </c>
      <c r="AL11" t="n">
        <v>0</v>
      </c>
      <c r="AM11" t="n">
        <v>0</v>
      </c>
      <c r="AN11" t="n">
        <v>0</v>
      </c>
      <c r="AO11" t="n">
        <v>0</v>
      </c>
      <c r="AP11" t="inlineStr">
        <is>
          <t>No</t>
        </is>
      </c>
      <c r="AQ11" t="inlineStr">
        <is>
          <t>No</t>
        </is>
      </c>
      <c r="AS11">
        <f>HYPERLINK("https://creighton-primo.hosted.exlibrisgroup.com/primo-explore/search?tab=default_tab&amp;search_scope=EVERYTHING&amp;vid=01CRU&amp;lang=en_US&amp;offset=0&amp;query=any,contains,991002962769702656","Catalog Record")</f>
        <v/>
      </c>
      <c r="AT11">
        <f>HYPERLINK("http://www.worldcat.org/oclc/39633883","WorldCat Record")</f>
        <v/>
      </c>
      <c r="AU11" t="inlineStr">
        <is>
          <t>4485489:eng</t>
        </is>
      </c>
      <c r="AV11" t="inlineStr">
        <is>
          <t>39633883</t>
        </is>
      </c>
      <c r="AW11" t="inlineStr">
        <is>
          <t>991002962769702656</t>
        </is>
      </c>
      <c r="AX11" t="inlineStr">
        <is>
          <t>991002962769702656</t>
        </is>
      </c>
      <c r="AY11" t="inlineStr">
        <is>
          <t>2268598370002656</t>
        </is>
      </c>
      <c r="AZ11" t="inlineStr">
        <is>
          <t>BOOK</t>
        </is>
      </c>
      <c r="BB11" t="inlineStr">
        <is>
          <t>9780070711174</t>
        </is>
      </c>
      <c r="BC11" t="inlineStr">
        <is>
          <t>32285003485405</t>
        </is>
      </c>
      <c r="BD11" t="inlineStr">
        <is>
          <t>893227500</t>
        </is>
      </c>
    </row>
    <row r="12">
      <c r="A12" t="inlineStr">
        <is>
          <t>No</t>
        </is>
      </c>
      <c r="B12" t="inlineStr">
        <is>
          <t>PF3075 .B343 1998</t>
        </is>
      </c>
      <c r="C12" t="inlineStr">
        <is>
          <t>0                      PF 3075000B  343         1998</t>
        </is>
      </c>
      <c r="D12" t="inlineStr">
        <is>
          <t>Bausteine zu einer Geschichte des weiblichen Sprachgebrauchs III : Forschungsberichte und feministische Fragestellungen : Internationale Fachtagung, Dresden 15.-16. 09. 1997 / herausgegeben von Gisela Brandt.</t>
        </is>
      </c>
      <c r="F12" t="inlineStr">
        <is>
          <t>No</t>
        </is>
      </c>
      <c r="G12" t="inlineStr">
        <is>
          <t>1</t>
        </is>
      </c>
      <c r="H12" t="inlineStr">
        <is>
          <t>No</t>
        </is>
      </c>
      <c r="I12" t="inlineStr">
        <is>
          <t>No</t>
        </is>
      </c>
      <c r="J12" t="inlineStr">
        <is>
          <t>0</t>
        </is>
      </c>
      <c r="L12" t="inlineStr">
        <is>
          <t>Stuttgart : H.-D. Heinz, 1998.</t>
        </is>
      </c>
      <c r="M12" t="inlineStr">
        <is>
          <t>1998</t>
        </is>
      </c>
      <c r="O12" t="inlineStr">
        <is>
          <t>ger</t>
        </is>
      </c>
      <c r="P12" t="inlineStr">
        <is>
          <t xml:space="preserve">gw </t>
        </is>
      </c>
      <c r="Q12" t="inlineStr">
        <is>
          <t>Stuttgarter Arbeiten zur Germanistik, 0179-2482 ; Nr. 363</t>
        </is>
      </c>
      <c r="R12" t="inlineStr">
        <is>
          <t xml:space="preserve">PF </t>
        </is>
      </c>
      <c r="S12" t="n">
        <v>1</v>
      </c>
      <c r="T12" t="n">
        <v>1</v>
      </c>
      <c r="U12" t="inlineStr">
        <is>
          <t>2000-08-24</t>
        </is>
      </c>
      <c r="V12" t="inlineStr">
        <is>
          <t>2000-08-24</t>
        </is>
      </c>
      <c r="W12" t="inlineStr">
        <is>
          <t>2000-08-24</t>
        </is>
      </c>
      <c r="X12" t="inlineStr">
        <is>
          <t>2000-08-24</t>
        </is>
      </c>
      <c r="Y12" t="n">
        <v>28</v>
      </c>
      <c r="Z12" t="n">
        <v>18</v>
      </c>
      <c r="AA12" t="n">
        <v>18</v>
      </c>
      <c r="AB12" t="n">
        <v>1</v>
      </c>
      <c r="AC12" t="n">
        <v>1</v>
      </c>
      <c r="AD12" t="n">
        <v>1</v>
      </c>
      <c r="AE12" t="n">
        <v>1</v>
      </c>
      <c r="AF12" t="n">
        <v>0</v>
      </c>
      <c r="AG12" t="n">
        <v>0</v>
      </c>
      <c r="AH12" t="n">
        <v>1</v>
      </c>
      <c r="AI12" t="n">
        <v>1</v>
      </c>
      <c r="AJ12" t="n">
        <v>1</v>
      </c>
      <c r="AK12" t="n">
        <v>1</v>
      </c>
      <c r="AL12" t="n">
        <v>0</v>
      </c>
      <c r="AM12" t="n">
        <v>0</v>
      </c>
      <c r="AN12" t="n">
        <v>0</v>
      </c>
      <c r="AO12" t="n">
        <v>0</v>
      </c>
      <c r="AP12" t="inlineStr">
        <is>
          <t>No</t>
        </is>
      </c>
      <c r="AQ12" t="inlineStr">
        <is>
          <t>No</t>
        </is>
      </c>
      <c r="AS12">
        <f>HYPERLINK("https://creighton-primo.hosted.exlibrisgroup.com/primo-explore/search?tab=default_tab&amp;search_scope=EVERYTHING&amp;vid=01CRU&amp;lang=en_US&amp;offset=0&amp;query=any,contains,991003272129702656","Catalog Record")</f>
        <v/>
      </c>
      <c r="AT12">
        <f>HYPERLINK("http://www.worldcat.org/oclc/57391580","WorldCat Record")</f>
        <v/>
      </c>
      <c r="AU12" t="inlineStr">
        <is>
          <t>3768994628:ger</t>
        </is>
      </c>
      <c r="AV12" t="inlineStr">
        <is>
          <t>57391580</t>
        </is>
      </c>
      <c r="AW12" t="inlineStr">
        <is>
          <t>991003272129702656</t>
        </is>
      </c>
      <c r="AX12" t="inlineStr">
        <is>
          <t>991003272129702656</t>
        </is>
      </c>
      <c r="AY12" t="inlineStr">
        <is>
          <t>2261767750002656</t>
        </is>
      </c>
      <c r="AZ12" t="inlineStr">
        <is>
          <t>BOOK</t>
        </is>
      </c>
      <c r="BB12" t="inlineStr">
        <is>
          <t>9783880993686</t>
        </is>
      </c>
      <c r="BC12" t="inlineStr">
        <is>
          <t>32285003759254</t>
        </is>
      </c>
      <c r="BD12" t="inlineStr">
        <is>
          <t>893717487</t>
        </is>
      </c>
    </row>
    <row r="13">
      <c r="A13" t="inlineStr">
        <is>
          <t>No</t>
        </is>
      </c>
      <c r="B13" t="inlineStr">
        <is>
          <t>PF3111 .A76 1985</t>
        </is>
      </c>
      <c r="C13" t="inlineStr">
        <is>
          <t>0                      PF 3111000A  76          1985</t>
        </is>
      </c>
      <c r="D13" t="inlineStr">
        <is>
          <t>Erzähl doch mal von dir! : zu Gast bei deutschen Freunden / Dieter Arnsdorf, Manfred Heid.</t>
        </is>
      </c>
      <c r="F13" t="inlineStr">
        <is>
          <t>No</t>
        </is>
      </c>
      <c r="G13" t="inlineStr">
        <is>
          <t>1</t>
        </is>
      </c>
      <c r="H13" t="inlineStr">
        <is>
          <t>No</t>
        </is>
      </c>
      <c r="I13" t="inlineStr">
        <is>
          <t>No</t>
        </is>
      </c>
      <c r="J13" t="inlineStr">
        <is>
          <t>0</t>
        </is>
      </c>
      <c r="K13" t="inlineStr">
        <is>
          <t>Arnsdorf, Dieter.</t>
        </is>
      </c>
      <c r="L13" t="inlineStr">
        <is>
          <t>New York, N.Y. : Langenscheidt, 1985.</t>
        </is>
      </c>
      <c r="M13" t="inlineStr">
        <is>
          <t>1985</t>
        </is>
      </c>
      <c r="O13" t="inlineStr">
        <is>
          <t>ger</t>
        </is>
      </c>
      <c r="P13" t="inlineStr">
        <is>
          <t>nyu</t>
        </is>
      </c>
      <c r="R13" t="inlineStr">
        <is>
          <t xml:space="preserve">PF </t>
        </is>
      </c>
      <c r="S13" t="n">
        <v>1</v>
      </c>
      <c r="T13" t="n">
        <v>1</v>
      </c>
      <c r="U13" t="inlineStr">
        <is>
          <t>1997-05-19</t>
        </is>
      </c>
      <c r="V13" t="inlineStr">
        <is>
          <t>1997-05-19</t>
        </is>
      </c>
      <c r="W13" t="inlineStr">
        <is>
          <t>1993-04-27</t>
        </is>
      </c>
      <c r="X13" t="inlineStr">
        <is>
          <t>1993-04-27</t>
        </is>
      </c>
      <c r="Y13" t="n">
        <v>18</v>
      </c>
      <c r="Z13" t="n">
        <v>12</v>
      </c>
      <c r="AA13" t="n">
        <v>12</v>
      </c>
      <c r="AB13" t="n">
        <v>1</v>
      </c>
      <c r="AC13" t="n">
        <v>1</v>
      </c>
      <c r="AD13" t="n">
        <v>0</v>
      </c>
      <c r="AE13" t="n">
        <v>0</v>
      </c>
      <c r="AF13" t="n">
        <v>0</v>
      </c>
      <c r="AG13" t="n">
        <v>0</v>
      </c>
      <c r="AH13" t="n">
        <v>0</v>
      </c>
      <c r="AI13" t="n">
        <v>0</v>
      </c>
      <c r="AJ13" t="n">
        <v>0</v>
      </c>
      <c r="AK13" t="n">
        <v>0</v>
      </c>
      <c r="AL13" t="n">
        <v>0</v>
      </c>
      <c r="AM13" t="n">
        <v>0</v>
      </c>
      <c r="AN13" t="n">
        <v>0</v>
      </c>
      <c r="AO13" t="n">
        <v>0</v>
      </c>
      <c r="AP13" t="inlineStr">
        <is>
          <t>No</t>
        </is>
      </c>
      <c r="AQ13" t="inlineStr">
        <is>
          <t>No</t>
        </is>
      </c>
      <c r="AS13">
        <f>HYPERLINK("https://creighton-primo.hosted.exlibrisgroup.com/primo-explore/search?tab=default_tab&amp;search_scope=EVERYTHING&amp;vid=01CRU&amp;lang=en_US&amp;offset=0&amp;query=any,contains,991000929369702656","Catalog Record")</f>
        <v/>
      </c>
      <c r="AT13">
        <f>HYPERLINK("http://www.worldcat.org/oclc/14244153","WorldCat Record")</f>
        <v/>
      </c>
      <c r="AU13" t="inlineStr">
        <is>
          <t>889607098:ger</t>
        </is>
      </c>
      <c r="AV13" t="inlineStr">
        <is>
          <t>14244153</t>
        </is>
      </c>
      <c r="AW13" t="inlineStr">
        <is>
          <t>991000929369702656</t>
        </is>
      </c>
      <c r="AX13" t="inlineStr">
        <is>
          <t>991000929369702656</t>
        </is>
      </c>
      <c r="AY13" t="inlineStr">
        <is>
          <t>2269485610002656</t>
        </is>
      </c>
      <c r="AZ13" t="inlineStr">
        <is>
          <t>BOOK</t>
        </is>
      </c>
      <c r="BB13" t="inlineStr">
        <is>
          <t>9780887297861</t>
        </is>
      </c>
      <c r="BC13" t="inlineStr">
        <is>
          <t>32285001648038</t>
        </is>
      </c>
      <c r="BD13" t="inlineStr">
        <is>
          <t>893683876</t>
        </is>
      </c>
    </row>
    <row r="14">
      <c r="A14" t="inlineStr">
        <is>
          <t>No</t>
        </is>
      </c>
      <c r="B14" t="inlineStr">
        <is>
          <t>PF3111 .C868</t>
        </is>
      </c>
      <c r="C14" t="inlineStr">
        <is>
          <t>0                      PF 3111000C  868</t>
        </is>
      </c>
      <c r="D14" t="inlineStr">
        <is>
          <t>Basic German, a brief introduction to the German language.</t>
        </is>
      </c>
      <c r="F14" t="inlineStr">
        <is>
          <t>No</t>
        </is>
      </c>
      <c r="G14" t="inlineStr">
        <is>
          <t>1</t>
        </is>
      </c>
      <c r="H14" t="inlineStr">
        <is>
          <t>No</t>
        </is>
      </c>
      <c r="I14" t="inlineStr">
        <is>
          <t>No</t>
        </is>
      </c>
      <c r="J14" t="inlineStr">
        <is>
          <t>0</t>
        </is>
      </c>
      <c r="K14" t="inlineStr">
        <is>
          <t>Curts, Paul Holroyd, 1884-1970.</t>
        </is>
      </c>
      <c r="L14" t="inlineStr">
        <is>
          <t>New York, Prentice-Hall, 1938.</t>
        </is>
      </c>
      <c r="M14" t="inlineStr">
        <is>
          <t>1938</t>
        </is>
      </c>
      <c r="O14" t="inlineStr">
        <is>
          <t>eng</t>
        </is>
      </c>
      <c r="P14" t="inlineStr">
        <is>
          <t xml:space="preserve">xx </t>
        </is>
      </c>
      <c r="R14" t="inlineStr">
        <is>
          <t xml:space="preserve">PF </t>
        </is>
      </c>
      <c r="S14" t="n">
        <v>1</v>
      </c>
      <c r="T14" t="n">
        <v>1</v>
      </c>
      <c r="U14" t="inlineStr">
        <is>
          <t>2006-08-25</t>
        </is>
      </c>
      <c r="V14" t="inlineStr">
        <is>
          <t>2006-08-25</t>
        </is>
      </c>
      <c r="W14" t="inlineStr">
        <is>
          <t>1997-09-30</t>
        </is>
      </c>
      <c r="X14" t="inlineStr">
        <is>
          <t>1997-09-30</t>
        </is>
      </c>
      <c r="Y14" t="n">
        <v>29</v>
      </c>
      <c r="Z14" t="n">
        <v>26</v>
      </c>
      <c r="AA14" t="n">
        <v>156</v>
      </c>
      <c r="AB14" t="n">
        <v>1</v>
      </c>
      <c r="AC14" t="n">
        <v>1</v>
      </c>
      <c r="AD14" t="n">
        <v>0</v>
      </c>
      <c r="AE14" t="n">
        <v>5</v>
      </c>
      <c r="AF14" t="n">
        <v>0</v>
      </c>
      <c r="AG14" t="n">
        <v>3</v>
      </c>
      <c r="AH14" t="n">
        <v>0</v>
      </c>
      <c r="AI14" t="n">
        <v>0</v>
      </c>
      <c r="AJ14" t="n">
        <v>0</v>
      </c>
      <c r="AK14" t="n">
        <v>2</v>
      </c>
      <c r="AL14" t="n">
        <v>0</v>
      </c>
      <c r="AM14" t="n">
        <v>0</v>
      </c>
      <c r="AN14" t="n">
        <v>0</v>
      </c>
      <c r="AO14" t="n">
        <v>0</v>
      </c>
      <c r="AP14" t="inlineStr">
        <is>
          <t>No</t>
        </is>
      </c>
      <c r="AQ14" t="inlineStr">
        <is>
          <t>No</t>
        </is>
      </c>
      <c r="AS14">
        <f>HYPERLINK("https://creighton-primo.hosted.exlibrisgroup.com/primo-explore/search?tab=default_tab&amp;search_scope=EVERYTHING&amp;vid=01CRU&amp;lang=en_US&amp;offset=0&amp;query=any,contains,991002477689702656","Catalog Record")</f>
        <v/>
      </c>
      <c r="AT14">
        <f>HYPERLINK("http://www.worldcat.org/oclc/359060","WorldCat Record")</f>
        <v/>
      </c>
      <c r="AU14" t="inlineStr">
        <is>
          <t>1402619:eng</t>
        </is>
      </c>
      <c r="AV14" t="inlineStr">
        <is>
          <t>359060</t>
        </is>
      </c>
      <c r="AW14" t="inlineStr">
        <is>
          <t>991002477689702656</t>
        </is>
      </c>
      <c r="AX14" t="inlineStr">
        <is>
          <t>991002477689702656</t>
        </is>
      </c>
      <c r="AY14" t="inlineStr">
        <is>
          <t>2272583520002656</t>
        </is>
      </c>
      <c r="AZ14" t="inlineStr">
        <is>
          <t>BOOK</t>
        </is>
      </c>
      <c r="BC14" t="inlineStr">
        <is>
          <t>32285003244976</t>
        </is>
      </c>
      <c r="BD14" t="inlineStr">
        <is>
          <t>893879980</t>
        </is>
      </c>
    </row>
    <row r="15">
      <c r="A15" t="inlineStr">
        <is>
          <t>No</t>
        </is>
      </c>
      <c r="B15" t="inlineStr">
        <is>
          <t>PF3111 .G784 1968</t>
        </is>
      </c>
      <c r="C15" t="inlineStr">
        <is>
          <t>0                      PF 3111000G  784         1968</t>
        </is>
      </c>
      <c r="D15" t="inlineStr">
        <is>
          <t>German grammar / [by] Eric V. Greenfield.</t>
        </is>
      </c>
      <c r="F15" t="inlineStr">
        <is>
          <t>No</t>
        </is>
      </c>
      <c r="G15" t="inlineStr">
        <is>
          <t>1</t>
        </is>
      </c>
      <c r="H15" t="inlineStr">
        <is>
          <t>No</t>
        </is>
      </c>
      <c r="I15" t="inlineStr">
        <is>
          <t>No</t>
        </is>
      </c>
      <c r="J15" t="inlineStr">
        <is>
          <t>0</t>
        </is>
      </c>
      <c r="K15" t="inlineStr">
        <is>
          <t>Greenfield, Eric V. (Eric Viele), 1882-</t>
        </is>
      </c>
      <c r="L15" t="inlineStr">
        <is>
          <t>New York : Barnes &amp; Noble, [1968]</t>
        </is>
      </c>
      <c r="M15" t="inlineStr">
        <is>
          <t>1968</t>
        </is>
      </c>
      <c r="N15" t="inlineStr">
        <is>
          <t>3d ed.</t>
        </is>
      </c>
      <c r="O15" t="inlineStr">
        <is>
          <t>eng</t>
        </is>
      </c>
      <c r="P15" t="inlineStr">
        <is>
          <t>nyu</t>
        </is>
      </c>
      <c r="Q15" t="inlineStr">
        <is>
          <t>College outline series ; 34</t>
        </is>
      </c>
      <c r="R15" t="inlineStr">
        <is>
          <t xml:space="preserve">PF </t>
        </is>
      </c>
      <c r="S15" t="n">
        <v>10</v>
      </c>
      <c r="T15" t="n">
        <v>10</v>
      </c>
      <c r="U15" t="inlineStr">
        <is>
          <t>2009-05-07</t>
        </is>
      </c>
      <c r="V15" t="inlineStr">
        <is>
          <t>2009-05-07</t>
        </is>
      </c>
      <c r="W15" t="inlineStr">
        <is>
          <t>1993-04-27</t>
        </is>
      </c>
      <c r="X15" t="inlineStr">
        <is>
          <t>1993-04-27</t>
        </is>
      </c>
      <c r="Y15" t="n">
        <v>198</v>
      </c>
      <c r="Z15" t="n">
        <v>182</v>
      </c>
      <c r="AA15" t="n">
        <v>222</v>
      </c>
      <c r="AB15" t="n">
        <v>2</v>
      </c>
      <c r="AC15" t="n">
        <v>3</v>
      </c>
      <c r="AD15" t="n">
        <v>3</v>
      </c>
      <c r="AE15" t="n">
        <v>4</v>
      </c>
      <c r="AF15" t="n">
        <v>2</v>
      </c>
      <c r="AG15" t="n">
        <v>3</v>
      </c>
      <c r="AH15" t="n">
        <v>0</v>
      </c>
      <c r="AI15" t="n">
        <v>0</v>
      </c>
      <c r="AJ15" t="n">
        <v>1</v>
      </c>
      <c r="AK15" t="n">
        <v>2</v>
      </c>
      <c r="AL15" t="n">
        <v>0</v>
      </c>
      <c r="AM15" t="n">
        <v>0</v>
      </c>
      <c r="AN15" t="n">
        <v>0</v>
      </c>
      <c r="AO15" t="n">
        <v>0</v>
      </c>
      <c r="AP15" t="inlineStr">
        <is>
          <t>No</t>
        </is>
      </c>
      <c r="AQ15" t="inlineStr">
        <is>
          <t>Yes</t>
        </is>
      </c>
      <c r="AR15">
        <f>HYPERLINK("http://catalog.hathitrust.org/Record/009921668","HathiTrust Record")</f>
        <v/>
      </c>
      <c r="AS15">
        <f>HYPERLINK("https://creighton-primo.hosted.exlibrisgroup.com/primo-explore/search?tab=default_tab&amp;search_scope=EVERYTHING&amp;vid=01CRU&amp;lang=en_US&amp;offset=0&amp;query=any,contains,991002809079702656","Catalog Record")</f>
        <v/>
      </c>
      <c r="AT15">
        <f>HYPERLINK("http://www.worldcat.org/oclc/451622","WorldCat Record")</f>
        <v/>
      </c>
      <c r="AU15" t="inlineStr">
        <is>
          <t>404332:eng</t>
        </is>
      </c>
      <c r="AV15" t="inlineStr">
        <is>
          <t>451622</t>
        </is>
      </c>
      <c r="AW15" t="inlineStr">
        <is>
          <t>991002809079702656</t>
        </is>
      </c>
      <c r="AX15" t="inlineStr">
        <is>
          <t>991002809079702656</t>
        </is>
      </c>
      <c r="AY15" t="inlineStr">
        <is>
          <t>2261214770002656</t>
        </is>
      </c>
      <c r="AZ15" t="inlineStr">
        <is>
          <t>BOOK</t>
        </is>
      </c>
      <c r="BC15" t="inlineStr">
        <is>
          <t>32285001648046</t>
        </is>
      </c>
      <c r="BD15" t="inlineStr">
        <is>
          <t>893428067</t>
        </is>
      </c>
    </row>
    <row r="16">
      <c r="A16" t="inlineStr">
        <is>
          <t>No</t>
        </is>
      </c>
      <c r="B16" t="inlineStr">
        <is>
          <t>PF3111 .H255</t>
        </is>
      </c>
      <c r="C16" t="inlineStr">
        <is>
          <t>0                      PF 3111000H  255</t>
        </is>
      </c>
      <c r="D16" t="inlineStr">
        <is>
          <t>A brief course in German / Peter Hagboldt and F. W. Kaufmann.</t>
        </is>
      </c>
      <c r="F16" t="inlineStr">
        <is>
          <t>No</t>
        </is>
      </c>
      <c r="G16" t="inlineStr">
        <is>
          <t>1</t>
        </is>
      </c>
      <c r="H16" t="inlineStr">
        <is>
          <t>No</t>
        </is>
      </c>
      <c r="I16" t="inlineStr">
        <is>
          <t>No</t>
        </is>
      </c>
      <c r="J16" t="inlineStr">
        <is>
          <t>0</t>
        </is>
      </c>
      <c r="K16" t="inlineStr">
        <is>
          <t>Hagboldt, Peter, 1886-1943.</t>
        </is>
      </c>
      <c r="L16" t="inlineStr">
        <is>
          <t>Boston : D. C. Health and company, [1937]</t>
        </is>
      </c>
      <c r="M16" t="inlineStr">
        <is>
          <t>1937</t>
        </is>
      </c>
      <c r="O16" t="inlineStr">
        <is>
          <t>ger</t>
        </is>
      </c>
      <c r="P16" t="inlineStr">
        <is>
          <t>mau</t>
        </is>
      </c>
      <c r="R16" t="inlineStr">
        <is>
          <t xml:space="preserve">PF </t>
        </is>
      </c>
      <c r="S16" t="n">
        <v>1</v>
      </c>
      <c r="T16" t="n">
        <v>1</v>
      </c>
      <c r="U16" t="inlineStr">
        <is>
          <t>2002-09-30</t>
        </is>
      </c>
      <c r="V16" t="inlineStr">
        <is>
          <t>2002-09-30</t>
        </is>
      </c>
      <c r="W16" t="inlineStr">
        <is>
          <t>2000-04-05</t>
        </is>
      </c>
      <c r="X16" t="inlineStr">
        <is>
          <t>2000-04-05</t>
        </is>
      </c>
      <c r="Y16" t="n">
        <v>57</v>
      </c>
      <c r="Z16" t="n">
        <v>46</v>
      </c>
      <c r="AA16" t="n">
        <v>47</v>
      </c>
      <c r="AB16" t="n">
        <v>1</v>
      </c>
      <c r="AC16" t="n">
        <v>1</v>
      </c>
      <c r="AD16" t="n">
        <v>1</v>
      </c>
      <c r="AE16" t="n">
        <v>1</v>
      </c>
      <c r="AF16" t="n">
        <v>0</v>
      </c>
      <c r="AG16" t="n">
        <v>0</v>
      </c>
      <c r="AH16" t="n">
        <v>0</v>
      </c>
      <c r="AI16" t="n">
        <v>0</v>
      </c>
      <c r="AJ16" t="n">
        <v>1</v>
      </c>
      <c r="AK16" t="n">
        <v>1</v>
      </c>
      <c r="AL16" t="n">
        <v>0</v>
      </c>
      <c r="AM16" t="n">
        <v>0</v>
      </c>
      <c r="AN16" t="n">
        <v>0</v>
      </c>
      <c r="AO16" t="n">
        <v>0</v>
      </c>
      <c r="AP16" t="inlineStr">
        <is>
          <t>No</t>
        </is>
      </c>
      <c r="AQ16" t="inlineStr">
        <is>
          <t>Yes</t>
        </is>
      </c>
      <c r="AR16">
        <f>HYPERLINK("http://catalog.hathitrust.org/Record/102611771","HathiTrust Record")</f>
        <v/>
      </c>
      <c r="AS16">
        <f>HYPERLINK("https://creighton-primo.hosted.exlibrisgroup.com/primo-explore/search?tab=default_tab&amp;search_scope=EVERYTHING&amp;vid=01CRU&amp;lang=en_US&amp;offset=0&amp;query=any,contains,991004860659702656","Catalog Record")</f>
        <v/>
      </c>
      <c r="AT16">
        <f>HYPERLINK("http://www.worldcat.org/oclc/5702446","WorldCat Record")</f>
        <v/>
      </c>
      <c r="AU16" t="inlineStr">
        <is>
          <t>1369707:ger</t>
        </is>
      </c>
      <c r="AV16" t="inlineStr">
        <is>
          <t>5702446</t>
        </is>
      </c>
      <c r="AW16" t="inlineStr">
        <is>
          <t>991004860659702656</t>
        </is>
      </c>
      <c r="AX16" t="inlineStr">
        <is>
          <t>991004860659702656</t>
        </is>
      </c>
      <c r="AY16" t="inlineStr">
        <is>
          <t>2263629180002656</t>
        </is>
      </c>
      <c r="AZ16" t="inlineStr">
        <is>
          <t>BOOK</t>
        </is>
      </c>
      <c r="BC16" t="inlineStr">
        <is>
          <t>32285003244992</t>
        </is>
      </c>
      <c r="BD16" t="inlineStr">
        <is>
          <t>893350452</t>
        </is>
      </c>
    </row>
    <row r="17">
      <c r="A17" t="inlineStr">
        <is>
          <t>No</t>
        </is>
      </c>
      <c r="B17" t="inlineStr">
        <is>
          <t>PF3111 .H33 1983</t>
        </is>
      </c>
      <c r="C17" t="inlineStr">
        <is>
          <t>0                      PF 3111000H  33          1983</t>
        </is>
      </c>
      <c r="D17" t="inlineStr">
        <is>
          <t>German grammar and usage / A.E. Hammer.</t>
        </is>
      </c>
      <c r="F17" t="inlineStr">
        <is>
          <t>No</t>
        </is>
      </c>
      <c r="G17" t="inlineStr">
        <is>
          <t>1</t>
        </is>
      </c>
      <c r="H17" t="inlineStr">
        <is>
          <t>No</t>
        </is>
      </c>
      <c r="I17" t="inlineStr">
        <is>
          <t>No</t>
        </is>
      </c>
      <c r="J17" t="inlineStr">
        <is>
          <t>0</t>
        </is>
      </c>
      <c r="K17" t="inlineStr">
        <is>
          <t>Hammer, A. E. (Alfred Edward)</t>
        </is>
      </c>
      <c r="L17" t="inlineStr">
        <is>
          <t>London [England] ; Baltimore, Maryland : E. Arnold, 1983.</t>
        </is>
      </c>
      <c r="M17" t="inlineStr">
        <is>
          <t>1983</t>
        </is>
      </c>
      <c r="O17" t="inlineStr">
        <is>
          <t>eng</t>
        </is>
      </c>
      <c r="P17" t="inlineStr">
        <is>
          <t>mdu</t>
        </is>
      </c>
      <c r="R17" t="inlineStr">
        <is>
          <t xml:space="preserve">PF </t>
        </is>
      </c>
      <c r="S17" t="n">
        <v>11</v>
      </c>
      <c r="T17" t="n">
        <v>11</v>
      </c>
      <c r="U17" t="inlineStr">
        <is>
          <t>1996-03-30</t>
        </is>
      </c>
      <c r="V17" t="inlineStr">
        <is>
          <t>1996-03-30</t>
        </is>
      </c>
      <c r="W17" t="inlineStr">
        <is>
          <t>1990-06-15</t>
        </is>
      </c>
      <c r="X17" t="inlineStr">
        <is>
          <t>1990-06-15</t>
        </is>
      </c>
      <c r="Y17" t="n">
        <v>189</v>
      </c>
      <c r="Z17" t="n">
        <v>175</v>
      </c>
      <c r="AA17" t="n">
        <v>227</v>
      </c>
      <c r="AB17" t="n">
        <v>3</v>
      </c>
      <c r="AC17" t="n">
        <v>3</v>
      </c>
      <c r="AD17" t="n">
        <v>12</v>
      </c>
      <c r="AE17" t="n">
        <v>14</v>
      </c>
      <c r="AF17" t="n">
        <v>5</v>
      </c>
      <c r="AG17" t="n">
        <v>5</v>
      </c>
      <c r="AH17" t="n">
        <v>3</v>
      </c>
      <c r="AI17" t="n">
        <v>3</v>
      </c>
      <c r="AJ17" t="n">
        <v>6</v>
      </c>
      <c r="AK17" t="n">
        <v>8</v>
      </c>
      <c r="AL17" t="n">
        <v>2</v>
      </c>
      <c r="AM17" t="n">
        <v>2</v>
      </c>
      <c r="AN17" t="n">
        <v>0</v>
      </c>
      <c r="AO17" t="n">
        <v>0</v>
      </c>
      <c r="AP17" t="inlineStr">
        <is>
          <t>No</t>
        </is>
      </c>
      <c r="AQ17" t="inlineStr">
        <is>
          <t>Yes</t>
        </is>
      </c>
      <c r="AR17">
        <f>HYPERLINK("http://catalog.hathitrust.org/Record/007473751","HathiTrust Record")</f>
        <v/>
      </c>
      <c r="AS17">
        <f>HYPERLINK("https://creighton-primo.hosted.exlibrisgroup.com/primo-explore/search?tab=default_tab&amp;search_scope=EVERYTHING&amp;vid=01CRU&amp;lang=en_US&amp;offset=0&amp;query=any,contains,991000284509702656","Catalog Record")</f>
        <v/>
      </c>
      <c r="AT17">
        <f>HYPERLINK("http://www.worldcat.org/oclc/9936680","WorldCat Record")</f>
        <v/>
      </c>
      <c r="AU17" t="inlineStr">
        <is>
          <t>4444168:eng</t>
        </is>
      </c>
      <c r="AV17" t="inlineStr">
        <is>
          <t>9936680</t>
        </is>
      </c>
      <c r="AW17" t="inlineStr">
        <is>
          <t>991000284509702656</t>
        </is>
      </c>
      <c r="AX17" t="inlineStr">
        <is>
          <t>991000284509702656</t>
        </is>
      </c>
      <c r="AY17" t="inlineStr">
        <is>
          <t>2256012670002656</t>
        </is>
      </c>
      <c r="AZ17" t="inlineStr">
        <is>
          <t>BOOK</t>
        </is>
      </c>
      <c r="BB17" t="inlineStr">
        <is>
          <t>9780713156997</t>
        </is>
      </c>
      <c r="BC17" t="inlineStr">
        <is>
          <t>32285000197607</t>
        </is>
      </c>
      <c r="BD17" t="inlineStr">
        <is>
          <t>893607788</t>
        </is>
      </c>
    </row>
    <row r="18">
      <c r="A18" t="inlineStr">
        <is>
          <t>No</t>
        </is>
      </c>
      <c r="B18" t="inlineStr">
        <is>
          <t>PF3111 .L4</t>
        </is>
      </c>
      <c r="C18" t="inlineStr">
        <is>
          <t>0                      PF 3111000L  4</t>
        </is>
      </c>
      <c r="D18" t="inlineStr">
        <is>
          <t>A new German grammar, by Marion D. Learned.</t>
        </is>
      </c>
      <c r="F18" t="inlineStr">
        <is>
          <t>No</t>
        </is>
      </c>
      <c r="G18" t="inlineStr">
        <is>
          <t>1</t>
        </is>
      </c>
      <c r="H18" t="inlineStr">
        <is>
          <t>No</t>
        </is>
      </c>
      <c r="I18" t="inlineStr">
        <is>
          <t>No</t>
        </is>
      </c>
      <c r="J18" t="inlineStr">
        <is>
          <t>0</t>
        </is>
      </c>
      <c r="K18" t="inlineStr">
        <is>
          <t>Learned, Marion Dexter, 1857-1917.</t>
        </is>
      </c>
      <c r="L18" t="inlineStr">
        <is>
          <t>New York, D. Appleton and Company, 1903.</t>
        </is>
      </c>
      <c r="M18" t="inlineStr">
        <is>
          <t>1903</t>
        </is>
      </c>
      <c r="O18" t="inlineStr">
        <is>
          <t>eng</t>
        </is>
      </c>
      <c r="P18" t="inlineStr">
        <is>
          <t>nyu</t>
        </is>
      </c>
      <c r="Q18" t="inlineStr">
        <is>
          <t>Twentieth century text-books</t>
        </is>
      </c>
      <c r="R18" t="inlineStr">
        <is>
          <t xml:space="preserve">PF </t>
        </is>
      </c>
      <c r="S18" t="n">
        <v>2</v>
      </c>
      <c r="T18" t="n">
        <v>2</v>
      </c>
      <c r="U18" t="inlineStr">
        <is>
          <t>2006-08-25</t>
        </is>
      </c>
      <c r="V18" t="inlineStr">
        <is>
          <t>2006-08-25</t>
        </is>
      </c>
      <c r="W18" t="inlineStr">
        <is>
          <t>1997-10-01</t>
        </is>
      </c>
      <c r="X18" t="inlineStr">
        <is>
          <t>1997-10-01</t>
        </is>
      </c>
      <c r="Y18" t="n">
        <v>25</v>
      </c>
      <c r="Z18" t="n">
        <v>19</v>
      </c>
      <c r="AA18" t="n">
        <v>25</v>
      </c>
      <c r="AB18" t="n">
        <v>1</v>
      </c>
      <c r="AC18" t="n">
        <v>1</v>
      </c>
      <c r="AD18" t="n">
        <v>0</v>
      </c>
      <c r="AE18" t="n">
        <v>0</v>
      </c>
      <c r="AF18" t="n">
        <v>0</v>
      </c>
      <c r="AG18" t="n">
        <v>0</v>
      </c>
      <c r="AH18" t="n">
        <v>0</v>
      </c>
      <c r="AI18" t="n">
        <v>0</v>
      </c>
      <c r="AJ18" t="n">
        <v>0</v>
      </c>
      <c r="AK18" t="n">
        <v>0</v>
      </c>
      <c r="AL18" t="n">
        <v>0</v>
      </c>
      <c r="AM18" t="n">
        <v>0</v>
      </c>
      <c r="AN18" t="n">
        <v>0</v>
      </c>
      <c r="AO18" t="n">
        <v>0</v>
      </c>
      <c r="AP18" t="inlineStr">
        <is>
          <t>Yes</t>
        </is>
      </c>
      <c r="AQ18" t="inlineStr">
        <is>
          <t>No</t>
        </is>
      </c>
      <c r="AR18">
        <f>HYPERLINK("http://catalog.hathitrust.org/Record/100414449","HathiTrust Record")</f>
        <v/>
      </c>
      <c r="AS18">
        <f>HYPERLINK("https://creighton-primo.hosted.exlibrisgroup.com/primo-explore/search?tab=default_tab&amp;search_scope=EVERYTHING&amp;vid=01CRU&amp;lang=en_US&amp;offset=0&amp;query=any,contains,991004889879702656","Catalog Record")</f>
        <v/>
      </c>
      <c r="AT18">
        <f>HYPERLINK("http://www.worldcat.org/oclc/5862740","WorldCat Record")</f>
        <v/>
      </c>
      <c r="AU18" t="inlineStr">
        <is>
          <t>19773248:eng</t>
        </is>
      </c>
      <c r="AV18" t="inlineStr">
        <is>
          <t>5862740</t>
        </is>
      </c>
      <c r="AW18" t="inlineStr">
        <is>
          <t>991004889879702656</t>
        </is>
      </c>
      <c r="AX18" t="inlineStr">
        <is>
          <t>991004889879702656</t>
        </is>
      </c>
      <c r="AY18" t="inlineStr">
        <is>
          <t>2264824960002656</t>
        </is>
      </c>
      <c r="AZ18" t="inlineStr">
        <is>
          <t>BOOK</t>
        </is>
      </c>
      <c r="BC18" t="inlineStr">
        <is>
          <t>32285003249140</t>
        </is>
      </c>
      <c r="BD18" t="inlineStr">
        <is>
          <t>893338237</t>
        </is>
      </c>
    </row>
    <row r="19">
      <c r="A19" t="inlineStr">
        <is>
          <t>No</t>
        </is>
      </c>
      <c r="B19" t="inlineStr">
        <is>
          <t>PF3111 .S8 1961</t>
        </is>
      </c>
      <c r="C19" t="inlineStr">
        <is>
          <t>0                      PF 3111000S  8           1961</t>
        </is>
      </c>
      <c r="D19" t="inlineStr">
        <is>
          <t>Essential German grammar / by Guy Stern and Everett F. Bleiler.</t>
        </is>
      </c>
      <c r="F19" t="inlineStr">
        <is>
          <t>No</t>
        </is>
      </c>
      <c r="G19" t="inlineStr">
        <is>
          <t>1</t>
        </is>
      </c>
      <c r="H19" t="inlineStr">
        <is>
          <t>No</t>
        </is>
      </c>
      <c r="I19" t="inlineStr">
        <is>
          <t>No</t>
        </is>
      </c>
      <c r="J19" t="inlineStr">
        <is>
          <t>0</t>
        </is>
      </c>
      <c r="K19" t="inlineStr">
        <is>
          <t>Stern, Guy, 1922-</t>
        </is>
      </c>
      <c r="L19" t="inlineStr">
        <is>
          <t>New York : Dover, 1961.</t>
        </is>
      </c>
      <c r="M19" t="inlineStr">
        <is>
          <t>1961</t>
        </is>
      </c>
      <c r="O19" t="inlineStr">
        <is>
          <t>eng</t>
        </is>
      </c>
      <c r="P19" t="inlineStr">
        <is>
          <t>nyu</t>
        </is>
      </c>
      <c r="R19" t="inlineStr">
        <is>
          <t xml:space="preserve">PF </t>
        </is>
      </c>
      <c r="S19" t="n">
        <v>3</v>
      </c>
      <c r="T19" t="n">
        <v>3</v>
      </c>
      <c r="U19" t="inlineStr">
        <is>
          <t>1995-12-14</t>
        </is>
      </c>
      <c r="V19" t="inlineStr">
        <is>
          <t>1995-12-14</t>
        </is>
      </c>
      <c r="W19" t="inlineStr">
        <is>
          <t>1993-04-27</t>
        </is>
      </c>
      <c r="X19" t="inlineStr">
        <is>
          <t>1993-04-27</t>
        </is>
      </c>
      <c r="Y19" t="n">
        <v>348</v>
      </c>
      <c r="Z19" t="n">
        <v>324</v>
      </c>
      <c r="AA19" t="n">
        <v>361</v>
      </c>
      <c r="AB19" t="n">
        <v>1</v>
      </c>
      <c r="AC19" t="n">
        <v>2</v>
      </c>
      <c r="AD19" t="n">
        <v>5</v>
      </c>
      <c r="AE19" t="n">
        <v>7</v>
      </c>
      <c r="AF19" t="n">
        <v>2</v>
      </c>
      <c r="AG19" t="n">
        <v>3</v>
      </c>
      <c r="AH19" t="n">
        <v>1</v>
      </c>
      <c r="AI19" t="n">
        <v>2</v>
      </c>
      <c r="AJ19" t="n">
        <v>4</v>
      </c>
      <c r="AK19" t="n">
        <v>4</v>
      </c>
      <c r="AL19" t="n">
        <v>0</v>
      </c>
      <c r="AM19" t="n">
        <v>1</v>
      </c>
      <c r="AN19" t="n">
        <v>0</v>
      </c>
      <c r="AO19" t="n">
        <v>0</v>
      </c>
      <c r="AP19" t="inlineStr">
        <is>
          <t>No</t>
        </is>
      </c>
      <c r="AQ19" t="inlineStr">
        <is>
          <t>No</t>
        </is>
      </c>
      <c r="AS19">
        <f>HYPERLINK("https://creighton-primo.hosted.exlibrisgroup.com/primo-explore/search?tab=default_tab&amp;search_scope=EVERYTHING&amp;vid=01CRU&amp;lang=en_US&amp;offset=0&amp;query=any,contains,991004028749702656","Catalog Record")</f>
        <v/>
      </c>
      <c r="AT19">
        <f>HYPERLINK("http://www.worldcat.org/oclc/2146111","WorldCat Record")</f>
        <v/>
      </c>
      <c r="AU19" t="inlineStr">
        <is>
          <t>491409:eng</t>
        </is>
      </c>
      <c r="AV19" t="inlineStr">
        <is>
          <t>2146111</t>
        </is>
      </c>
      <c r="AW19" t="inlineStr">
        <is>
          <t>991004028749702656</t>
        </is>
      </c>
      <c r="AX19" t="inlineStr">
        <is>
          <t>991004028749702656</t>
        </is>
      </c>
      <c r="AY19" t="inlineStr">
        <is>
          <t>2256910010002656</t>
        </is>
      </c>
      <c r="AZ19" t="inlineStr">
        <is>
          <t>BOOK</t>
        </is>
      </c>
      <c r="BC19" t="inlineStr">
        <is>
          <t>32285001648061</t>
        </is>
      </c>
      <c r="BD19" t="inlineStr">
        <is>
          <t>893349525</t>
        </is>
      </c>
    </row>
    <row r="20">
      <c r="A20" t="inlineStr">
        <is>
          <t>No</t>
        </is>
      </c>
      <c r="B20" t="inlineStr">
        <is>
          <t>PF3112 .C59 1986</t>
        </is>
      </c>
      <c r="C20" t="inlineStr">
        <is>
          <t>0                      PF 3112000C  59          1986</t>
        </is>
      </c>
      <c r="D20" t="inlineStr">
        <is>
          <t>German grammar : a contrastive approach / Stephen Clausing.</t>
        </is>
      </c>
      <c r="F20" t="inlineStr">
        <is>
          <t>No</t>
        </is>
      </c>
      <c r="G20" t="inlineStr">
        <is>
          <t>1</t>
        </is>
      </c>
      <c r="H20" t="inlineStr">
        <is>
          <t>No</t>
        </is>
      </c>
      <c r="I20" t="inlineStr">
        <is>
          <t>No</t>
        </is>
      </c>
      <c r="J20" t="inlineStr">
        <is>
          <t>0</t>
        </is>
      </c>
      <c r="K20" t="inlineStr">
        <is>
          <t>Clausing, Stephen.</t>
        </is>
      </c>
      <c r="L20" t="inlineStr">
        <is>
          <t>New York : Holt, Rinehart and Winston, c1986.</t>
        </is>
      </c>
      <c r="M20" t="inlineStr">
        <is>
          <t>1986</t>
        </is>
      </c>
      <c r="O20" t="inlineStr">
        <is>
          <t>eng</t>
        </is>
      </c>
      <c r="P20" t="inlineStr">
        <is>
          <t>nyu</t>
        </is>
      </c>
      <c r="R20" t="inlineStr">
        <is>
          <t xml:space="preserve">PF </t>
        </is>
      </c>
      <c r="S20" t="n">
        <v>6</v>
      </c>
      <c r="T20" t="n">
        <v>6</v>
      </c>
      <c r="U20" t="inlineStr">
        <is>
          <t>1996-05-13</t>
        </is>
      </c>
      <c r="V20" t="inlineStr">
        <is>
          <t>1996-05-13</t>
        </is>
      </c>
      <c r="W20" t="inlineStr">
        <is>
          <t>1995-08-14</t>
        </is>
      </c>
      <c r="X20" t="inlineStr">
        <is>
          <t>1995-08-14</t>
        </is>
      </c>
      <c r="Y20" t="n">
        <v>72</v>
      </c>
      <c r="Z20" t="n">
        <v>54</v>
      </c>
      <c r="AA20" t="n">
        <v>59</v>
      </c>
      <c r="AB20" t="n">
        <v>1</v>
      </c>
      <c r="AC20" t="n">
        <v>1</v>
      </c>
      <c r="AD20" t="n">
        <v>1</v>
      </c>
      <c r="AE20" t="n">
        <v>1</v>
      </c>
      <c r="AF20" t="n">
        <v>0</v>
      </c>
      <c r="AG20" t="n">
        <v>0</v>
      </c>
      <c r="AH20" t="n">
        <v>0</v>
      </c>
      <c r="AI20" t="n">
        <v>0</v>
      </c>
      <c r="AJ20" t="n">
        <v>1</v>
      </c>
      <c r="AK20" t="n">
        <v>1</v>
      </c>
      <c r="AL20" t="n">
        <v>0</v>
      </c>
      <c r="AM20" t="n">
        <v>0</v>
      </c>
      <c r="AN20" t="n">
        <v>0</v>
      </c>
      <c r="AO20" t="n">
        <v>0</v>
      </c>
      <c r="AP20" t="inlineStr">
        <is>
          <t>No</t>
        </is>
      </c>
      <c r="AQ20" t="inlineStr">
        <is>
          <t>No</t>
        </is>
      </c>
      <c r="AS20">
        <f>HYPERLINK("https://creighton-primo.hosted.exlibrisgroup.com/primo-explore/search?tab=default_tab&amp;search_scope=EVERYTHING&amp;vid=01CRU&amp;lang=en_US&amp;offset=0&amp;query=any,contains,991000686479702656","Catalog Record")</f>
        <v/>
      </c>
      <c r="AT20">
        <f>HYPERLINK("http://www.worldcat.org/oclc/12421096","WorldCat Record")</f>
        <v/>
      </c>
      <c r="AU20" t="inlineStr">
        <is>
          <t>898064823:eng</t>
        </is>
      </c>
      <c r="AV20" t="inlineStr">
        <is>
          <t>12421096</t>
        </is>
      </c>
      <c r="AW20" t="inlineStr">
        <is>
          <t>991000686479702656</t>
        </is>
      </c>
      <c r="AX20" t="inlineStr">
        <is>
          <t>991000686479702656</t>
        </is>
      </c>
      <c r="AY20" t="inlineStr">
        <is>
          <t>2254716600002656</t>
        </is>
      </c>
      <c r="AZ20" t="inlineStr">
        <is>
          <t>BOOK</t>
        </is>
      </c>
      <c r="BB20" t="inlineStr">
        <is>
          <t>9780030018978</t>
        </is>
      </c>
      <c r="BC20" t="inlineStr">
        <is>
          <t>32285002077195</t>
        </is>
      </c>
      <c r="BD20" t="inlineStr">
        <is>
          <t>893413590</t>
        </is>
      </c>
    </row>
    <row r="21">
      <c r="A21" t="inlineStr">
        <is>
          <t>No</t>
        </is>
      </c>
      <c r="B21" t="inlineStr">
        <is>
          <t>PF3112 .J3 1971</t>
        </is>
      </c>
      <c r="C21" t="inlineStr">
        <is>
          <t>0                      PF 3112000J  3           1971</t>
        </is>
      </c>
      <c r="D21" t="inlineStr">
        <is>
          <t>German for reading knowledge / Hubert Jannach.</t>
        </is>
      </c>
      <c r="F21" t="inlineStr">
        <is>
          <t>No</t>
        </is>
      </c>
      <c r="G21" t="inlineStr">
        <is>
          <t>1</t>
        </is>
      </c>
      <c r="H21" t="inlineStr">
        <is>
          <t>No</t>
        </is>
      </c>
      <c r="I21" t="inlineStr">
        <is>
          <t>No</t>
        </is>
      </c>
      <c r="J21" t="inlineStr">
        <is>
          <t>0</t>
        </is>
      </c>
      <c r="K21" t="inlineStr">
        <is>
          <t>Jannach, Hubert.</t>
        </is>
      </c>
      <c r="L21" t="inlineStr">
        <is>
          <t>New York : Van Nostrand Reinhold Co., [1971]</t>
        </is>
      </c>
      <c r="M21" t="inlineStr">
        <is>
          <t>1971</t>
        </is>
      </c>
      <c r="N21" t="inlineStr">
        <is>
          <t>2d ed.</t>
        </is>
      </c>
      <c r="O21" t="inlineStr">
        <is>
          <t>eng</t>
        </is>
      </c>
      <c r="P21" t="inlineStr">
        <is>
          <t>___</t>
        </is>
      </c>
      <c r="R21" t="inlineStr">
        <is>
          <t xml:space="preserve">PF </t>
        </is>
      </c>
      <c r="S21" t="n">
        <v>7</v>
      </c>
      <c r="T21" t="n">
        <v>7</v>
      </c>
      <c r="U21" t="inlineStr">
        <is>
          <t>2009-12-16</t>
        </is>
      </c>
      <c r="V21" t="inlineStr">
        <is>
          <t>2009-12-16</t>
        </is>
      </c>
      <c r="W21" t="inlineStr">
        <is>
          <t>1993-04-27</t>
        </is>
      </c>
      <c r="X21" t="inlineStr">
        <is>
          <t>1993-04-27</t>
        </is>
      </c>
      <c r="Y21" t="n">
        <v>113</v>
      </c>
      <c r="Z21" t="n">
        <v>107</v>
      </c>
      <c r="AA21" t="n">
        <v>292</v>
      </c>
      <c r="AB21" t="n">
        <v>1</v>
      </c>
      <c r="AC21" t="n">
        <v>1</v>
      </c>
      <c r="AD21" t="n">
        <v>2</v>
      </c>
      <c r="AE21" t="n">
        <v>7</v>
      </c>
      <c r="AF21" t="n">
        <v>1</v>
      </c>
      <c r="AG21" t="n">
        <v>2</v>
      </c>
      <c r="AH21" t="n">
        <v>0</v>
      </c>
      <c r="AI21" t="n">
        <v>3</v>
      </c>
      <c r="AJ21" t="n">
        <v>1</v>
      </c>
      <c r="AK21" t="n">
        <v>4</v>
      </c>
      <c r="AL21" t="n">
        <v>0</v>
      </c>
      <c r="AM21" t="n">
        <v>0</v>
      </c>
      <c r="AN21" t="n">
        <v>0</v>
      </c>
      <c r="AO21" t="n">
        <v>0</v>
      </c>
      <c r="AP21" t="inlineStr">
        <is>
          <t>No</t>
        </is>
      </c>
      <c r="AQ21" t="inlineStr">
        <is>
          <t>No</t>
        </is>
      </c>
      <c r="AS21">
        <f>HYPERLINK("https://creighton-primo.hosted.exlibrisgroup.com/primo-explore/search?tab=default_tab&amp;search_scope=EVERYTHING&amp;vid=01CRU&amp;lang=en_US&amp;offset=0&amp;query=any,contains,991003227269702656","Catalog Record")</f>
        <v/>
      </c>
      <c r="AT21">
        <f>HYPERLINK("http://www.worldcat.org/oclc/752159","WorldCat Record")</f>
        <v/>
      </c>
      <c r="AU21" t="inlineStr">
        <is>
          <t>632433:eng</t>
        </is>
      </c>
      <c r="AV21" t="inlineStr">
        <is>
          <t>752159</t>
        </is>
      </c>
      <c r="AW21" t="inlineStr">
        <is>
          <t>991003227269702656</t>
        </is>
      </c>
      <c r="AX21" t="inlineStr">
        <is>
          <t>991003227269702656</t>
        </is>
      </c>
      <c r="AY21" t="inlineStr">
        <is>
          <t>2268939060002656</t>
        </is>
      </c>
      <c r="AZ21" t="inlineStr">
        <is>
          <t>BOOK</t>
        </is>
      </c>
      <c r="BC21" t="inlineStr">
        <is>
          <t>32285001648079</t>
        </is>
      </c>
      <c r="BD21" t="inlineStr">
        <is>
          <t>893780742</t>
        </is>
      </c>
    </row>
    <row r="22">
      <c r="A22" t="inlineStr">
        <is>
          <t>No</t>
        </is>
      </c>
      <c r="B22" t="inlineStr">
        <is>
          <t>PF3112 .L6 1980</t>
        </is>
      </c>
      <c r="C22" t="inlineStr">
        <is>
          <t>0                      PF 3112000L  6           1980</t>
        </is>
      </c>
      <c r="D22" t="inlineStr">
        <is>
          <t>German : a structural approach / Walter F. W. Lohnes and F. W. Strothmann.</t>
        </is>
      </c>
      <c r="F22" t="inlineStr">
        <is>
          <t>No</t>
        </is>
      </c>
      <c r="G22" t="inlineStr">
        <is>
          <t>1</t>
        </is>
      </c>
      <c r="H22" t="inlineStr">
        <is>
          <t>No</t>
        </is>
      </c>
      <c r="I22" t="inlineStr">
        <is>
          <t>No</t>
        </is>
      </c>
      <c r="J22" t="inlineStr">
        <is>
          <t>0</t>
        </is>
      </c>
      <c r="K22" t="inlineStr">
        <is>
          <t>Lohnes, Walter F. W.</t>
        </is>
      </c>
      <c r="L22" t="inlineStr">
        <is>
          <t>New York : Norton, c1980.</t>
        </is>
      </c>
      <c r="M22" t="inlineStr">
        <is>
          <t>1980</t>
        </is>
      </c>
      <c r="N22" t="inlineStr">
        <is>
          <t>3d ed.</t>
        </is>
      </c>
      <c r="O22" t="inlineStr">
        <is>
          <t>eng</t>
        </is>
      </c>
      <c r="P22" t="inlineStr">
        <is>
          <t>nyu</t>
        </is>
      </c>
      <c r="R22" t="inlineStr">
        <is>
          <t xml:space="preserve">PF </t>
        </is>
      </c>
      <c r="S22" t="n">
        <v>10</v>
      </c>
      <c r="T22" t="n">
        <v>10</v>
      </c>
      <c r="U22" t="inlineStr">
        <is>
          <t>2005-01-11</t>
        </is>
      </c>
      <c r="V22" t="inlineStr">
        <is>
          <t>2005-01-11</t>
        </is>
      </c>
      <c r="W22" t="inlineStr">
        <is>
          <t>1990-06-15</t>
        </is>
      </c>
      <c r="X22" t="inlineStr">
        <is>
          <t>1990-06-15</t>
        </is>
      </c>
      <c r="Y22" t="n">
        <v>97</v>
      </c>
      <c r="Z22" t="n">
        <v>83</v>
      </c>
      <c r="AA22" t="n">
        <v>373</v>
      </c>
      <c r="AB22" t="n">
        <v>1</v>
      </c>
      <c r="AC22" t="n">
        <v>1</v>
      </c>
      <c r="AD22" t="n">
        <v>3</v>
      </c>
      <c r="AE22" t="n">
        <v>10</v>
      </c>
      <c r="AF22" t="n">
        <v>2</v>
      </c>
      <c r="AG22" t="n">
        <v>5</v>
      </c>
      <c r="AH22" t="n">
        <v>1</v>
      </c>
      <c r="AI22" t="n">
        <v>4</v>
      </c>
      <c r="AJ22" t="n">
        <v>2</v>
      </c>
      <c r="AK22" t="n">
        <v>6</v>
      </c>
      <c r="AL22" t="n">
        <v>0</v>
      </c>
      <c r="AM22" t="n">
        <v>0</v>
      </c>
      <c r="AN22" t="n">
        <v>0</v>
      </c>
      <c r="AO22" t="n">
        <v>0</v>
      </c>
      <c r="AP22" t="inlineStr">
        <is>
          <t>No</t>
        </is>
      </c>
      <c r="AQ22" t="inlineStr">
        <is>
          <t>No</t>
        </is>
      </c>
      <c r="AS22">
        <f>HYPERLINK("https://creighton-primo.hosted.exlibrisgroup.com/primo-explore/search?tab=default_tab&amp;search_scope=EVERYTHING&amp;vid=01CRU&amp;lang=en_US&amp;offset=0&amp;query=any,contains,991004905649702656","Catalog Record")</f>
        <v/>
      </c>
      <c r="AT22">
        <f>HYPERLINK("http://www.worldcat.org/oclc/5946581","WorldCat Record")</f>
        <v/>
      </c>
      <c r="AU22" t="inlineStr">
        <is>
          <t>1290421:eng</t>
        </is>
      </c>
      <c r="AV22" t="inlineStr">
        <is>
          <t>5946581</t>
        </is>
      </c>
      <c r="AW22" t="inlineStr">
        <is>
          <t>991004905649702656</t>
        </is>
      </c>
      <c r="AX22" t="inlineStr">
        <is>
          <t>991004905649702656</t>
        </is>
      </c>
      <c r="AY22" t="inlineStr">
        <is>
          <t>2257701440002656</t>
        </is>
      </c>
      <c r="AZ22" t="inlineStr">
        <is>
          <t>BOOK</t>
        </is>
      </c>
      <c r="BB22" t="inlineStr">
        <is>
          <t>9780393950595</t>
        </is>
      </c>
      <c r="BC22" t="inlineStr">
        <is>
          <t>32285000197615</t>
        </is>
      </c>
      <c r="BD22" t="inlineStr">
        <is>
          <t>893344388</t>
        </is>
      </c>
    </row>
    <row r="23">
      <c r="A23" t="inlineStr">
        <is>
          <t>No</t>
        </is>
      </c>
      <c r="B23" t="inlineStr">
        <is>
          <t>PF3112 .M55 1996</t>
        </is>
      </c>
      <c r="C23" t="inlineStr">
        <is>
          <t>0                      PF 3112000M  55          1996</t>
        </is>
      </c>
      <c r="D23" t="inlineStr">
        <is>
          <t>Modern German grammar : a practical guide / Bill Dodd ... [et al.].</t>
        </is>
      </c>
      <c r="F23" t="inlineStr">
        <is>
          <t>No</t>
        </is>
      </c>
      <c r="G23" t="inlineStr">
        <is>
          <t>1</t>
        </is>
      </c>
      <c r="H23" t="inlineStr">
        <is>
          <t>No</t>
        </is>
      </c>
      <c r="I23" t="inlineStr">
        <is>
          <t>No</t>
        </is>
      </c>
      <c r="J23" t="inlineStr">
        <is>
          <t>0</t>
        </is>
      </c>
      <c r="L23" t="inlineStr">
        <is>
          <t>London ; New York : Routledge, 1996.</t>
        </is>
      </c>
      <c r="M23" t="inlineStr">
        <is>
          <t>1996</t>
        </is>
      </c>
      <c r="O23" t="inlineStr">
        <is>
          <t>eng</t>
        </is>
      </c>
      <c r="P23" t="inlineStr">
        <is>
          <t>enk</t>
        </is>
      </c>
      <c r="Q23" t="inlineStr">
        <is>
          <t>Routledge modern grammars</t>
        </is>
      </c>
      <c r="R23" t="inlineStr">
        <is>
          <t xml:space="preserve">PF </t>
        </is>
      </c>
      <c r="S23" t="n">
        <v>9</v>
      </c>
      <c r="T23" t="n">
        <v>9</v>
      </c>
      <c r="U23" t="inlineStr">
        <is>
          <t>2003-05-30</t>
        </is>
      </c>
      <c r="V23" t="inlineStr">
        <is>
          <t>2003-05-30</t>
        </is>
      </c>
      <c r="W23" t="inlineStr">
        <is>
          <t>1998-05-18</t>
        </is>
      </c>
      <c r="X23" t="inlineStr">
        <is>
          <t>1998-05-18</t>
        </is>
      </c>
      <c r="Y23" t="n">
        <v>253</v>
      </c>
      <c r="Z23" t="n">
        <v>164</v>
      </c>
      <c r="AA23" t="n">
        <v>415</v>
      </c>
      <c r="AB23" t="n">
        <v>5</v>
      </c>
      <c r="AC23" t="n">
        <v>5</v>
      </c>
      <c r="AD23" t="n">
        <v>7</v>
      </c>
      <c r="AE23" t="n">
        <v>12</v>
      </c>
      <c r="AF23" t="n">
        <v>2</v>
      </c>
      <c r="AG23" t="n">
        <v>5</v>
      </c>
      <c r="AH23" t="n">
        <v>2</v>
      </c>
      <c r="AI23" t="n">
        <v>4</v>
      </c>
      <c r="AJ23" t="n">
        <v>3</v>
      </c>
      <c r="AK23" t="n">
        <v>4</v>
      </c>
      <c r="AL23" t="n">
        <v>3</v>
      </c>
      <c r="AM23" t="n">
        <v>3</v>
      </c>
      <c r="AN23" t="n">
        <v>0</v>
      </c>
      <c r="AO23" t="n">
        <v>0</v>
      </c>
      <c r="AP23" t="inlineStr">
        <is>
          <t>No</t>
        </is>
      </c>
      <c r="AQ23" t="inlineStr">
        <is>
          <t>No</t>
        </is>
      </c>
      <c r="AS23">
        <f>HYPERLINK("https://creighton-primo.hosted.exlibrisgroup.com/primo-explore/search?tab=default_tab&amp;search_scope=EVERYTHING&amp;vid=01CRU&amp;lang=en_US&amp;offset=0&amp;query=any,contains,991002531129702656","Catalog Record")</f>
        <v/>
      </c>
      <c r="AT23">
        <f>HYPERLINK("http://www.worldcat.org/oclc/32893280","WorldCat Record")</f>
        <v/>
      </c>
      <c r="AU23" t="inlineStr">
        <is>
          <t>1051864551:eng</t>
        </is>
      </c>
      <c r="AV23" t="inlineStr">
        <is>
          <t>32893280</t>
        </is>
      </c>
      <c r="AW23" t="inlineStr">
        <is>
          <t>991002531129702656</t>
        </is>
      </c>
      <c r="AX23" t="inlineStr">
        <is>
          <t>991002531129702656</t>
        </is>
      </c>
      <c r="AY23" t="inlineStr">
        <is>
          <t>2257779810002656</t>
        </is>
      </c>
      <c r="AZ23" t="inlineStr">
        <is>
          <t>BOOK</t>
        </is>
      </c>
      <c r="BB23" t="inlineStr">
        <is>
          <t>9780415098472</t>
        </is>
      </c>
      <c r="BC23" t="inlineStr">
        <is>
          <t>32285003409405</t>
        </is>
      </c>
      <c r="BD23" t="inlineStr">
        <is>
          <t>893226950</t>
        </is>
      </c>
    </row>
    <row r="24">
      <c r="A24" t="inlineStr">
        <is>
          <t>No</t>
        </is>
      </c>
      <c r="B24" t="inlineStr">
        <is>
          <t>PF3112 .T4 2001</t>
        </is>
      </c>
      <c r="C24" t="inlineStr">
        <is>
          <t>0                      PF 3112000T  4           2001</t>
        </is>
      </c>
      <c r="D24" t="inlineStr">
        <is>
          <t>Klaro! : a practical guide to German grammar / Susan Tebbutt.</t>
        </is>
      </c>
      <c r="F24" t="inlineStr">
        <is>
          <t>No</t>
        </is>
      </c>
      <c r="G24" t="inlineStr">
        <is>
          <t>1</t>
        </is>
      </c>
      <c r="H24" t="inlineStr">
        <is>
          <t>No</t>
        </is>
      </c>
      <c r="I24" t="inlineStr">
        <is>
          <t>No</t>
        </is>
      </c>
      <c r="J24" t="inlineStr">
        <is>
          <t>0</t>
        </is>
      </c>
      <c r="K24" t="inlineStr">
        <is>
          <t>Tebbutt, Susan.</t>
        </is>
      </c>
      <c r="L24" t="inlineStr">
        <is>
          <t>London : Arnold, 2001.</t>
        </is>
      </c>
      <c r="M24" t="inlineStr">
        <is>
          <t>2001</t>
        </is>
      </c>
      <c r="O24" t="inlineStr">
        <is>
          <t>eng</t>
        </is>
      </c>
      <c r="P24" t="inlineStr">
        <is>
          <t>enk</t>
        </is>
      </c>
      <c r="R24" t="inlineStr">
        <is>
          <t xml:space="preserve">PF </t>
        </is>
      </c>
      <c r="S24" t="n">
        <v>4</v>
      </c>
      <c r="T24" t="n">
        <v>4</v>
      </c>
      <c r="U24" t="inlineStr">
        <is>
          <t>2009-06-17</t>
        </is>
      </c>
      <c r="V24" t="inlineStr">
        <is>
          <t>2009-06-17</t>
        </is>
      </c>
      <c r="W24" t="inlineStr">
        <is>
          <t>2002-04-10</t>
        </is>
      </c>
      <c r="X24" t="inlineStr">
        <is>
          <t>2002-04-10</t>
        </is>
      </c>
      <c r="Y24" t="n">
        <v>56</v>
      </c>
      <c r="Z24" t="n">
        <v>11</v>
      </c>
      <c r="AA24" t="n">
        <v>69</v>
      </c>
      <c r="AB24" t="n">
        <v>1</v>
      </c>
      <c r="AC24" t="n">
        <v>1</v>
      </c>
      <c r="AD24" t="n">
        <v>0</v>
      </c>
      <c r="AE24" t="n">
        <v>0</v>
      </c>
      <c r="AF24" t="n">
        <v>0</v>
      </c>
      <c r="AG24" t="n">
        <v>0</v>
      </c>
      <c r="AH24" t="n">
        <v>0</v>
      </c>
      <c r="AI24" t="n">
        <v>0</v>
      </c>
      <c r="AJ24" t="n">
        <v>0</v>
      </c>
      <c r="AK24" t="n">
        <v>0</v>
      </c>
      <c r="AL24" t="n">
        <v>0</v>
      </c>
      <c r="AM24" t="n">
        <v>0</v>
      </c>
      <c r="AN24" t="n">
        <v>0</v>
      </c>
      <c r="AO24" t="n">
        <v>0</v>
      </c>
      <c r="AP24" t="inlineStr">
        <is>
          <t>No</t>
        </is>
      </c>
      <c r="AQ24" t="inlineStr">
        <is>
          <t>No</t>
        </is>
      </c>
      <c r="AS24">
        <f>HYPERLINK("https://creighton-primo.hosted.exlibrisgroup.com/primo-explore/search?tab=default_tab&amp;search_scope=EVERYTHING&amp;vid=01CRU&amp;lang=en_US&amp;offset=0&amp;query=any,contains,991003711429702656","Catalog Record")</f>
        <v/>
      </c>
      <c r="AT24">
        <f>HYPERLINK("http://www.worldcat.org/oclc/46650460","WorldCat Record")</f>
        <v/>
      </c>
      <c r="AU24" t="inlineStr">
        <is>
          <t>35580722:eng</t>
        </is>
      </c>
      <c r="AV24" t="inlineStr">
        <is>
          <t>46650460</t>
        </is>
      </c>
      <c r="AW24" t="inlineStr">
        <is>
          <t>991003711429702656</t>
        </is>
      </c>
      <c r="AX24" t="inlineStr">
        <is>
          <t>991003711429702656</t>
        </is>
      </c>
      <c r="AY24" t="inlineStr">
        <is>
          <t>2268279000002656</t>
        </is>
      </c>
      <c r="AZ24" t="inlineStr">
        <is>
          <t>BOOK</t>
        </is>
      </c>
      <c r="BB24" t="inlineStr">
        <is>
          <t>9780340760208</t>
        </is>
      </c>
      <c r="BC24" t="inlineStr">
        <is>
          <t>32285004478482</t>
        </is>
      </c>
      <c r="BD24" t="inlineStr">
        <is>
          <t>893598894</t>
        </is>
      </c>
    </row>
    <row r="25">
      <c r="A25" t="inlineStr">
        <is>
          <t>No</t>
        </is>
      </c>
      <c r="B25" t="inlineStr">
        <is>
          <t>PF3112 .U28 1986</t>
        </is>
      </c>
      <c r="C25" t="inlineStr">
        <is>
          <t>0                      PF 3112000U  28          1986</t>
        </is>
      </c>
      <c r="D25" t="inlineStr">
        <is>
          <t>Übungen zu Schwerpunkten der deutschen Grammatik / [Autorenkollektiv, Inge Biener ... et al.].</t>
        </is>
      </c>
      <c r="F25" t="inlineStr">
        <is>
          <t>No</t>
        </is>
      </c>
      <c r="G25" t="inlineStr">
        <is>
          <t>1</t>
        </is>
      </c>
      <c r="H25" t="inlineStr">
        <is>
          <t>No</t>
        </is>
      </c>
      <c r="I25" t="inlineStr">
        <is>
          <t>No</t>
        </is>
      </c>
      <c r="J25" t="inlineStr">
        <is>
          <t>0</t>
        </is>
      </c>
      <c r="L25" t="inlineStr">
        <is>
          <t>Leipzig : VEB Verlag Enzyklopädie, c1986.</t>
        </is>
      </c>
      <c r="M25" t="inlineStr">
        <is>
          <t>1986</t>
        </is>
      </c>
      <c r="N25" t="inlineStr">
        <is>
          <t>1. Aufl. der Neufassung.</t>
        </is>
      </c>
      <c r="O25" t="inlineStr">
        <is>
          <t>ger</t>
        </is>
      </c>
      <c r="P25" t="inlineStr">
        <is>
          <t xml:space="preserve">gw </t>
        </is>
      </c>
      <c r="R25" t="inlineStr">
        <is>
          <t xml:space="preserve">PF </t>
        </is>
      </c>
      <c r="S25" t="n">
        <v>1</v>
      </c>
      <c r="T25" t="n">
        <v>1</v>
      </c>
      <c r="U25" t="inlineStr">
        <is>
          <t>1993-12-09</t>
        </is>
      </c>
      <c r="V25" t="inlineStr">
        <is>
          <t>1993-12-09</t>
        </is>
      </c>
      <c r="W25" t="inlineStr">
        <is>
          <t>1993-04-27</t>
        </is>
      </c>
      <c r="X25" t="inlineStr">
        <is>
          <t>1993-04-27</t>
        </is>
      </c>
      <c r="Y25" t="n">
        <v>34</v>
      </c>
      <c r="Z25" t="n">
        <v>18</v>
      </c>
      <c r="AA25" t="n">
        <v>34</v>
      </c>
      <c r="AB25" t="n">
        <v>1</v>
      </c>
      <c r="AC25" t="n">
        <v>1</v>
      </c>
      <c r="AD25" t="n">
        <v>2</v>
      </c>
      <c r="AE25" t="n">
        <v>2</v>
      </c>
      <c r="AF25" t="n">
        <v>0</v>
      </c>
      <c r="AG25" t="n">
        <v>0</v>
      </c>
      <c r="AH25" t="n">
        <v>2</v>
      </c>
      <c r="AI25" t="n">
        <v>2</v>
      </c>
      <c r="AJ25" t="n">
        <v>2</v>
      </c>
      <c r="AK25" t="n">
        <v>2</v>
      </c>
      <c r="AL25" t="n">
        <v>0</v>
      </c>
      <c r="AM25" t="n">
        <v>0</v>
      </c>
      <c r="AN25" t="n">
        <v>0</v>
      </c>
      <c r="AO25" t="n">
        <v>0</v>
      </c>
      <c r="AP25" t="inlineStr">
        <is>
          <t>No</t>
        </is>
      </c>
      <c r="AQ25" t="inlineStr">
        <is>
          <t>Yes</t>
        </is>
      </c>
      <c r="AR25">
        <f>HYPERLINK("http://catalog.hathitrust.org/Record/102566928","HathiTrust Record")</f>
        <v/>
      </c>
      <c r="AS25">
        <f>HYPERLINK("https://creighton-primo.hosted.exlibrisgroup.com/primo-explore/search?tab=default_tab&amp;search_scope=EVERYTHING&amp;vid=01CRU&amp;lang=en_US&amp;offset=0&amp;query=any,contains,991000985539702656","Catalog Record")</f>
        <v/>
      </c>
      <c r="AT25">
        <f>HYPERLINK("http://www.worldcat.org/oclc/15077283","WorldCat Record")</f>
        <v/>
      </c>
      <c r="AU25" t="inlineStr">
        <is>
          <t>1151346949:ger</t>
        </is>
      </c>
      <c r="AV25" t="inlineStr">
        <is>
          <t>15077283</t>
        </is>
      </c>
      <c r="AW25" t="inlineStr">
        <is>
          <t>991000985539702656</t>
        </is>
      </c>
      <c r="AX25" t="inlineStr">
        <is>
          <t>991000985539702656</t>
        </is>
      </c>
      <c r="AY25" t="inlineStr">
        <is>
          <t>2257053360002656</t>
        </is>
      </c>
      <c r="AZ25" t="inlineStr">
        <is>
          <t>BOOK</t>
        </is>
      </c>
      <c r="BB25" t="inlineStr">
        <is>
          <t>9783324000024</t>
        </is>
      </c>
      <c r="BC25" t="inlineStr">
        <is>
          <t>32285001648087</t>
        </is>
      </c>
      <c r="BD25" t="inlineStr">
        <is>
          <t>893327768</t>
        </is>
      </c>
    </row>
    <row r="26">
      <c r="A26" t="inlineStr">
        <is>
          <t>No</t>
        </is>
      </c>
      <c r="B26" t="inlineStr">
        <is>
          <t>PF3112 .W35 1986</t>
        </is>
      </c>
      <c r="C26" t="inlineStr">
        <is>
          <t>0                      PF 3112000W  35          1986</t>
        </is>
      </c>
      <c r="D26" t="inlineStr">
        <is>
          <t>Schwarz rot gold : course book / Paul Webster.</t>
        </is>
      </c>
      <c r="F26" t="inlineStr">
        <is>
          <t>No</t>
        </is>
      </c>
      <c r="G26" t="inlineStr">
        <is>
          <t>1</t>
        </is>
      </c>
      <c r="H26" t="inlineStr">
        <is>
          <t>No</t>
        </is>
      </c>
      <c r="I26" t="inlineStr">
        <is>
          <t>No</t>
        </is>
      </c>
      <c r="J26" t="inlineStr">
        <is>
          <t>0</t>
        </is>
      </c>
      <c r="K26" t="inlineStr">
        <is>
          <t>Webster, Paul, 1952-</t>
        </is>
      </c>
      <c r="L26" t="inlineStr">
        <is>
          <t>Cambridge [Cambridgeshire] ; New York : Cambridge University Press, 1986.</t>
        </is>
      </c>
      <c r="M26" t="inlineStr">
        <is>
          <t>1986</t>
        </is>
      </c>
      <c r="O26" t="inlineStr">
        <is>
          <t>eng</t>
        </is>
      </c>
      <c r="P26" t="inlineStr">
        <is>
          <t>enk</t>
        </is>
      </c>
      <c r="R26" t="inlineStr">
        <is>
          <t xml:space="preserve">PF </t>
        </is>
      </c>
      <c r="S26" t="n">
        <v>6</v>
      </c>
      <c r="T26" t="n">
        <v>6</v>
      </c>
      <c r="U26" t="inlineStr">
        <is>
          <t>1994-05-12</t>
        </is>
      </c>
      <c r="V26" t="inlineStr">
        <is>
          <t>1994-05-12</t>
        </is>
      </c>
      <c r="W26" t="inlineStr">
        <is>
          <t>1992-09-11</t>
        </is>
      </c>
      <c r="X26" t="inlineStr">
        <is>
          <t>1992-09-11</t>
        </is>
      </c>
      <c r="Y26" t="n">
        <v>58</v>
      </c>
      <c r="Z26" t="n">
        <v>35</v>
      </c>
      <c r="AA26" t="n">
        <v>41</v>
      </c>
      <c r="AB26" t="n">
        <v>1</v>
      </c>
      <c r="AC26" t="n">
        <v>1</v>
      </c>
      <c r="AD26" t="n">
        <v>0</v>
      </c>
      <c r="AE26" t="n">
        <v>0</v>
      </c>
      <c r="AF26" t="n">
        <v>0</v>
      </c>
      <c r="AG26" t="n">
        <v>0</v>
      </c>
      <c r="AH26" t="n">
        <v>0</v>
      </c>
      <c r="AI26" t="n">
        <v>0</v>
      </c>
      <c r="AJ26" t="n">
        <v>0</v>
      </c>
      <c r="AK26" t="n">
        <v>0</v>
      </c>
      <c r="AL26" t="n">
        <v>0</v>
      </c>
      <c r="AM26" t="n">
        <v>0</v>
      </c>
      <c r="AN26" t="n">
        <v>0</v>
      </c>
      <c r="AO26" t="n">
        <v>0</v>
      </c>
      <c r="AP26" t="inlineStr">
        <is>
          <t>No</t>
        </is>
      </c>
      <c r="AQ26" t="inlineStr">
        <is>
          <t>No</t>
        </is>
      </c>
      <c r="AS26">
        <f>HYPERLINK("https://creighton-primo.hosted.exlibrisgroup.com/primo-explore/search?tab=default_tab&amp;search_scope=EVERYTHING&amp;vid=01CRU&amp;lang=en_US&amp;offset=0&amp;query=any,contains,991000846539702656","Catalog Record")</f>
        <v/>
      </c>
      <c r="AT26">
        <f>HYPERLINK("http://www.worldcat.org/oclc/13560900","WorldCat Record")</f>
        <v/>
      </c>
      <c r="AU26" t="inlineStr">
        <is>
          <t>2287201157:eng</t>
        </is>
      </c>
      <c r="AV26" t="inlineStr">
        <is>
          <t>13560900</t>
        </is>
      </c>
      <c r="AW26" t="inlineStr">
        <is>
          <t>991000846539702656</t>
        </is>
      </c>
      <c r="AX26" t="inlineStr">
        <is>
          <t>991000846539702656</t>
        </is>
      </c>
      <c r="AY26" t="inlineStr">
        <is>
          <t>2256976210002656</t>
        </is>
      </c>
      <c r="AZ26" t="inlineStr">
        <is>
          <t>BOOK</t>
        </is>
      </c>
      <c r="BB26" t="inlineStr">
        <is>
          <t>9780521278836</t>
        </is>
      </c>
      <c r="BC26" t="inlineStr">
        <is>
          <t>32285000988625</t>
        </is>
      </c>
      <c r="BD26" t="inlineStr">
        <is>
          <t>893690090</t>
        </is>
      </c>
    </row>
    <row r="27">
      <c r="A27" t="inlineStr">
        <is>
          <t>No</t>
        </is>
      </c>
      <c r="B27" t="inlineStr">
        <is>
          <t>PF3112 .W37 1987</t>
        </is>
      </c>
      <c r="C27" t="inlineStr">
        <is>
          <t>0                      PF 3112000W  37          1987</t>
        </is>
      </c>
      <c r="D27" t="inlineStr">
        <is>
          <t>Literatur zum Anfassen : Vorschläge zu einem produktiven Umgang mit Literatur / von Christoph Werr.</t>
        </is>
      </c>
      <c r="F27" t="inlineStr">
        <is>
          <t>No</t>
        </is>
      </c>
      <c r="G27" t="inlineStr">
        <is>
          <t>1</t>
        </is>
      </c>
      <c r="H27" t="inlineStr">
        <is>
          <t>No</t>
        </is>
      </c>
      <c r="I27" t="inlineStr">
        <is>
          <t>No</t>
        </is>
      </c>
      <c r="J27" t="inlineStr">
        <is>
          <t>0</t>
        </is>
      </c>
      <c r="K27" t="inlineStr">
        <is>
          <t>Werr, Christoph.</t>
        </is>
      </c>
      <c r="L27" t="inlineStr">
        <is>
          <t>München [Munich] : Hueber, c1987.</t>
        </is>
      </c>
      <c r="M27" t="inlineStr">
        <is>
          <t>1987</t>
        </is>
      </c>
      <c r="N27" t="inlineStr">
        <is>
          <t>1. Aufl.</t>
        </is>
      </c>
      <c r="O27" t="inlineStr">
        <is>
          <t>ger</t>
        </is>
      </c>
      <c r="P27" t="inlineStr">
        <is>
          <t xml:space="preserve">gw </t>
        </is>
      </c>
      <c r="R27" t="inlineStr">
        <is>
          <t xml:space="preserve">PF </t>
        </is>
      </c>
      <c r="S27" t="n">
        <v>1</v>
      </c>
      <c r="T27" t="n">
        <v>1</v>
      </c>
      <c r="U27" t="inlineStr">
        <is>
          <t>1998-06-29</t>
        </is>
      </c>
      <c r="V27" t="inlineStr">
        <is>
          <t>1998-06-29</t>
        </is>
      </c>
      <c r="W27" t="inlineStr">
        <is>
          <t>1990-02-19</t>
        </is>
      </c>
      <c r="X27" t="inlineStr">
        <is>
          <t>1990-02-19</t>
        </is>
      </c>
      <c r="Y27" t="n">
        <v>45</v>
      </c>
      <c r="Z27" t="n">
        <v>16</v>
      </c>
      <c r="AA27" t="n">
        <v>18</v>
      </c>
      <c r="AB27" t="n">
        <v>1</v>
      </c>
      <c r="AC27" t="n">
        <v>1</v>
      </c>
      <c r="AD27" t="n">
        <v>0</v>
      </c>
      <c r="AE27" t="n">
        <v>0</v>
      </c>
      <c r="AF27" t="n">
        <v>0</v>
      </c>
      <c r="AG27" t="n">
        <v>0</v>
      </c>
      <c r="AH27" t="n">
        <v>0</v>
      </c>
      <c r="AI27" t="n">
        <v>0</v>
      </c>
      <c r="AJ27" t="n">
        <v>0</v>
      </c>
      <c r="AK27" t="n">
        <v>0</v>
      </c>
      <c r="AL27" t="n">
        <v>0</v>
      </c>
      <c r="AM27" t="n">
        <v>0</v>
      </c>
      <c r="AN27" t="n">
        <v>0</v>
      </c>
      <c r="AO27" t="n">
        <v>0</v>
      </c>
      <c r="AP27" t="inlineStr">
        <is>
          <t>No</t>
        </is>
      </c>
      <c r="AQ27" t="inlineStr">
        <is>
          <t>Yes</t>
        </is>
      </c>
      <c r="AR27">
        <f>HYPERLINK("http://catalog.hathitrust.org/Record/006687592","HathiTrust Record")</f>
        <v/>
      </c>
      <c r="AS27">
        <f>HYPERLINK("https://creighton-primo.hosted.exlibrisgroup.com/primo-explore/search?tab=default_tab&amp;search_scope=EVERYTHING&amp;vid=01CRU&amp;lang=en_US&amp;offset=0&amp;query=any,contains,991001566079702656","Catalog Record")</f>
        <v/>
      </c>
      <c r="AT27">
        <f>HYPERLINK("http://www.worldcat.org/oclc/20336879","WorldCat Record")</f>
        <v/>
      </c>
      <c r="AU27" t="inlineStr">
        <is>
          <t>22552629:ger</t>
        </is>
      </c>
      <c r="AV27" t="inlineStr">
        <is>
          <t>20336879</t>
        </is>
      </c>
      <c r="AW27" t="inlineStr">
        <is>
          <t>991001566079702656</t>
        </is>
      </c>
      <c r="AX27" t="inlineStr">
        <is>
          <t>991001566079702656</t>
        </is>
      </c>
      <c r="AY27" t="inlineStr">
        <is>
          <t>2256240460002656</t>
        </is>
      </c>
      <c r="AZ27" t="inlineStr">
        <is>
          <t>BOOK</t>
        </is>
      </c>
      <c r="BB27" t="inlineStr">
        <is>
          <t>9783190014309</t>
        </is>
      </c>
      <c r="BC27" t="inlineStr">
        <is>
          <t>32285000054931</t>
        </is>
      </c>
      <c r="BD27" t="inlineStr">
        <is>
          <t>893885369</t>
        </is>
      </c>
    </row>
    <row r="28">
      <c r="A28" t="inlineStr">
        <is>
          <t>No</t>
        </is>
      </c>
      <c r="B28" t="inlineStr">
        <is>
          <t>PF3113 .E5 1978</t>
        </is>
      </c>
      <c r="C28" t="inlineStr">
        <is>
          <t>0                      PF 3113000E  5           1978</t>
        </is>
      </c>
      <c r="D28" t="inlineStr">
        <is>
          <t>Graded German reader : erste Stufe.</t>
        </is>
      </c>
      <c r="F28" t="inlineStr">
        <is>
          <t>No</t>
        </is>
      </c>
      <c r="G28" t="inlineStr">
        <is>
          <t>1</t>
        </is>
      </c>
      <c r="H28" t="inlineStr">
        <is>
          <t>No</t>
        </is>
      </c>
      <c r="I28" t="inlineStr">
        <is>
          <t>No</t>
        </is>
      </c>
      <c r="J28" t="inlineStr">
        <is>
          <t>0</t>
        </is>
      </c>
      <c r="L28" t="inlineStr">
        <is>
          <t>Lexington, Mass. : Heath, c1978.</t>
        </is>
      </c>
      <c r="M28" t="inlineStr">
        <is>
          <t>1978</t>
        </is>
      </c>
      <c r="N28" t="inlineStr">
        <is>
          <t>2d ed. / Hannelore Crossgrove, William C. Crossgrove, Peter Hagboldt.</t>
        </is>
      </c>
      <c r="O28" t="inlineStr">
        <is>
          <t>eng</t>
        </is>
      </c>
      <c r="P28" t="inlineStr">
        <is>
          <t>kyu</t>
        </is>
      </c>
      <c r="R28" t="inlineStr">
        <is>
          <t xml:space="preserve">PF </t>
        </is>
      </c>
      <c r="S28" t="n">
        <v>2</v>
      </c>
      <c r="T28" t="n">
        <v>2</v>
      </c>
      <c r="U28" t="inlineStr">
        <is>
          <t>1992-02-18</t>
        </is>
      </c>
      <c r="V28" t="inlineStr">
        <is>
          <t>1992-02-18</t>
        </is>
      </c>
      <c r="W28" t="inlineStr">
        <is>
          <t>1992-01-21</t>
        </is>
      </c>
      <c r="X28" t="inlineStr">
        <is>
          <t>1992-01-21</t>
        </is>
      </c>
      <c r="Y28" t="n">
        <v>54</v>
      </c>
      <c r="Z28" t="n">
        <v>43</v>
      </c>
      <c r="AA28" t="n">
        <v>44</v>
      </c>
      <c r="AB28" t="n">
        <v>1</v>
      </c>
      <c r="AC28" t="n">
        <v>1</v>
      </c>
      <c r="AD28" t="n">
        <v>1</v>
      </c>
      <c r="AE28" t="n">
        <v>1</v>
      </c>
      <c r="AF28" t="n">
        <v>1</v>
      </c>
      <c r="AG28" t="n">
        <v>1</v>
      </c>
      <c r="AH28" t="n">
        <v>0</v>
      </c>
      <c r="AI28" t="n">
        <v>0</v>
      </c>
      <c r="AJ28" t="n">
        <v>1</v>
      </c>
      <c r="AK28" t="n">
        <v>1</v>
      </c>
      <c r="AL28" t="n">
        <v>0</v>
      </c>
      <c r="AM28" t="n">
        <v>0</v>
      </c>
      <c r="AN28" t="n">
        <v>0</v>
      </c>
      <c r="AO28" t="n">
        <v>0</v>
      </c>
      <c r="AP28" t="inlineStr">
        <is>
          <t>No</t>
        </is>
      </c>
      <c r="AQ28" t="inlineStr">
        <is>
          <t>No</t>
        </is>
      </c>
      <c r="AS28">
        <f>HYPERLINK("https://creighton-primo.hosted.exlibrisgroup.com/primo-explore/search?tab=default_tab&amp;search_scope=EVERYTHING&amp;vid=01CRU&amp;lang=en_US&amp;offset=0&amp;query=any,contains,991004568379702656","Catalog Record")</f>
        <v/>
      </c>
      <c r="AT28">
        <f>HYPERLINK("http://www.worldcat.org/oclc/4005487","WorldCat Record")</f>
        <v/>
      </c>
      <c r="AU28" t="inlineStr">
        <is>
          <t>424461706:eng</t>
        </is>
      </c>
      <c r="AV28" t="inlineStr">
        <is>
          <t>4005487</t>
        </is>
      </c>
      <c r="AW28" t="inlineStr">
        <is>
          <t>991004568379702656</t>
        </is>
      </c>
      <c r="AX28" t="inlineStr">
        <is>
          <t>991004568379702656</t>
        </is>
      </c>
      <c r="AY28" t="inlineStr">
        <is>
          <t>2264827420002656</t>
        </is>
      </c>
      <c r="AZ28" t="inlineStr">
        <is>
          <t>BOOK</t>
        </is>
      </c>
      <c r="BB28" t="inlineStr">
        <is>
          <t>9780669015331</t>
        </is>
      </c>
      <c r="BC28" t="inlineStr">
        <is>
          <t>32285000917004</t>
        </is>
      </c>
      <c r="BD28" t="inlineStr">
        <is>
          <t>893895158</t>
        </is>
      </c>
    </row>
    <row r="29">
      <c r="A29" t="inlineStr">
        <is>
          <t>No</t>
        </is>
      </c>
      <c r="B29" t="inlineStr">
        <is>
          <t>PF3117 .D9</t>
        </is>
      </c>
      <c r="C29" t="inlineStr">
        <is>
          <t>0                      PF 3117000D  9</t>
        </is>
      </c>
      <c r="D29" t="inlineStr">
        <is>
          <t>Mozart.</t>
        </is>
      </c>
      <c r="F29" t="inlineStr">
        <is>
          <t>No</t>
        </is>
      </c>
      <c r="G29" t="inlineStr">
        <is>
          <t>1</t>
        </is>
      </c>
      <c r="H29" t="inlineStr">
        <is>
          <t>No</t>
        </is>
      </c>
      <c r="I29" t="inlineStr">
        <is>
          <t>No</t>
        </is>
      </c>
      <c r="J29" t="inlineStr">
        <is>
          <t>0</t>
        </is>
      </c>
      <c r="K29" t="inlineStr">
        <is>
          <t>Dyck, J. W.</t>
        </is>
      </c>
      <c r="L29" t="inlineStr">
        <is>
          <t>[n.p.] Ginn [1963]</t>
        </is>
      </c>
      <c r="M29" t="inlineStr">
        <is>
          <t>1963</t>
        </is>
      </c>
      <c r="O29" t="inlineStr">
        <is>
          <t>ger</t>
        </is>
      </c>
      <c r="P29" t="inlineStr">
        <is>
          <t xml:space="preserve">xx </t>
        </is>
      </c>
      <c r="R29" t="inlineStr">
        <is>
          <t xml:space="preserve">PF </t>
        </is>
      </c>
      <c r="S29" t="n">
        <v>1</v>
      </c>
      <c r="T29" t="n">
        <v>1</v>
      </c>
      <c r="U29" t="inlineStr">
        <is>
          <t>2010-02-01</t>
        </is>
      </c>
      <c r="V29" t="inlineStr">
        <is>
          <t>2010-02-01</t>
        </is>
      </c>
      <c r="W29" t="inlineStr">
        <is>
          <t>1997-10-01</t>
        </is>
      </c>
      <c r="X29" t="inlineStr">
        <is>
          <t>1997-10-01</t>
        </is>
      </c>
      <c r="Y29" t="n">
        <v>72</v>
      </c>
      <c r="Z29" t="n">
        <v>70</v>
      </c>
      <c r="AA29" t="n">
        <v>91</v>
      </c>
      <c r="AB29" t="n">
        <v>2</v>
      </c>
      <c r="AC29" t="n">
        <v>2</v>
      </c>
      <c r="AD29" t="n">
        <v>1</v>
      </c>
      <c r="AE29" t="n">
        <v>1</v>
      </c>
      <c r="AF29" t="n">
        <v>0</v>
      </c>
      <c r="AG29" t="n">
        <v>0</v>
      </c>
      <c r="AH29" t="n">
        <v>0</v>
      </c>
      <c r="AI29" t="n">
        <v>0</v>
      </c>
      <c r="AJ29" t="n">
        <v>0</v>
      </c>
      <c r="AK29" t="n">
        <v>0</v>
      </c>
      <c r="AL29" t="n">
        <v>1</v>
      </c>
      <c r="AM29" t="n">
        <v>1</v>
      </c>
      <c r="AN29" t="n">
        <v>0</v>
      </c>
      <c r="AO29" t="n">
        <v>0</v>
      </c>
      <c r="AP29" t="inlineStr">
        <is>
          <t>No</t>
        </is>
      </c>
      <c r="AQ29" t="inlineStr">
        <is>
          <t>Yes</t>
        </is>
      </c>
      <c r="AR29">
        <f>HYPERLINK("http://catalog.hathitrust.org/Record/005762919","HathiTrust Record")</f>
        <v/>
      </c>
      <c r="AS29">
        <f>HYPERLINK("https://creighton-primo.hosted.exlibrisgroup.com/primo-explore/search?tab=default_tab&amp;search_scope=EVERYTHING&amp;vid=01CRU&amp;lang=en_US&amp;offset=0&amp;query=any,contains,991004123779702656","Catalog Record")</f>
        <v/>
      </c>
      <c r="AT29">
        <f>HYPERLINK("http://www.worldcat.org/oclc/2437504","WorldCat Record")</f>
        <v/>
      </c>
      <c r="AU29" t="inlineStr">
        <is>
          <t>3372164328:ger</t>
        </is>
      </c>
      <c r="AV29" t="inlineStr">
        <is>
          <t>2437504</t>
        </is>
      </c>
      <c r="AW29" t="inlineStr">
        <is>
          <t>991004123779702656</t>
        </is>
      </c>
      <c r="AX29" t="inlineStr">
        <is>
          <t>991004123779702656</t>
        </is>
      </c>
      <c r="AY29" t="inlineStr">
        <is>
          <t>2263560200002656</t>
        </is>
      </c>
      <c r="AZ29" t="inlineStr">
        <is>
          <t>BOOK</t>
        </is>
      </c>
      <c r="BC29" t="inlineStr">
        <is>
          <t>32285003249314</t>
        </is>
      </c>
      <c r="BD29" t="inlineStr">
        <is>
          <t>893519268</t>
        </is>
      </c>
    </row>
    <row r="30">
      <c r="A30" t="inlineStr">
        <is>
          <t>No</t>
        </is>
      </c>
      <c r="B30" t="inlineStr">
        <is>
          <t>PF3117 .L4 1962</t>
        </is>
      </c>
      <c r="C30" t="inlineStr">
        <is>
          <t>0                      PF 3117000L  4           1962</t>
        </is>
      </c>
      <c r="D30" t="inlineStr">
        <is>
          <t>Lebendige Literatur : deutsches Lesebuch für Anfänger / edited by Frank G. Ryder, E. Allen McCormick.</t>
        </is>
      </c>
      <c r="F30" t="inlineStr">
        <is>
          <t>No</t>
        </is>
      </c>
      <c r="G30" t="inlineStr">
        <is>
          <t>1</t>
        </is>
      </c>
      <c r="H30" t="inlineStr">
        <is>
          <t>No</t>
        </is>
      </c>
      <c r="I30" t="inlineStr">
        <is>
          <t>No</t>
        </is>
      </c>
      <c r="J30" t="inlineStr">
        <is>
          <t>0</t>
        </is>
      </c>
      <c r="L30" t="inlineStr">
        <is>
          <t>Boston : Houghton Mifflin, c1960, 1962 printing.</t>
        </is>
      </c>
      <c r="M30" t="inlineStr">
        <is>
          <t>1962</t>
        </is>
      </c>
      <c r="O30" t="inlineStr">
        <is>
          <t>eng</t>
        </is>
      </c>
      <c r="P30" t="inlineStr">
        <is>
          <t>mau</t>
        </is>
      </c>
      <c r="R30" t="inlineStr">
        <is>
          <t xml:space="preserve">PF </t>
        </is>
      </c>
      <c r="S30" t="n">
        <v>1</v>
      </c>
      <c r="T30" t="n">
        <v>1</v>
      </c>
      <c r="U30" t="inlineStr">
        <is>
          <t>1995-03-01</t>
        </is>
      </c>
      <c r="V30" t="inlineStr">
        <is>
          <t>1995-03-01</t>
        </is>
      </c>
      <c r="W30" t="inlineStr">
        <is>
          <t>1993-04-27</t>
        </is>
      </c>
      <c r="X30" t="inlineStr">
        <is>
          <t>1993-04-27</t>
        </is>
      </c>
      <c r="Y30" t="n">
        <v>10</v>
      </c>
      <c r="Z30" t="n">
        <v>9</v>
      </c>
      <c r="AA30" t="n">
        <v>31</v>
      </c>
      <c r="AB30" t="n">
        <v>1</v>
      </c>
      <c r="AC30" t="n">
        <v>1</v>
      </c>
      <c r="AD30" t="n">
        <v>0</v>
      </c>
      <c r="AE30" t="n">
        <v>0</v>
      </c>
      <c r="AF30" t="n">
        <v>0</v>
      </c>
      <c r="AG30" t="n">
        <v>0</v>
      </c>
      <c r="AH30" t="n">
        <v>0</v>
      </c>
      <c r="AI30" t="n">
        <v>0</v>
      </c>
      <c r="AJ30" t="n">
        <v>0</v>
      </c>
      <c r="AK30" t="n">
        <v>0</v>
      </c>
      <c r="AL30" t="n">
        <v>0</v>
      </c>
      <c r="AM30" t="n">
        <v>0</v>
      </c>
      <c r="AN30" t="n">
        <v>0</v>
      </c>
      <c r="AO30" t="n">
        <v>0</v>
      </c>
      <c r="AP30" t="inlineStr">
        <is>
          <t>No</t>
        </is>
      </c>
      <c r="AQ30" t="inlineStr">
        <is>
          <t>No</t>
        </is>
      </c>
      <c r="AS30">
        <f>HYPERLINK("https://creighton-primo.hosted.exlibrisgroup.com/primo-explore/search?tab=default_tab&amp;search_scope=EVERYTHING&amp;vid=01CRU&amp;lang=en_US&amp;offset=0&amp;query=any,contains,991004628649702656","Catalog Record")</f>
        <v/>
      </c>
      <c r="AT30">
        <f>HYPERLINK("http://www.worldcat.org/oclc/4358081","WorldCat Record")</f>
        <v/>
      </c>
      <c r="AU30" t="inlineStr">
        <is>
          <t>1883020:eng</t>
        </is>
      </c>
      <c r="AV30" t="inlineStr">
        <is>
          <t>4358081</t>
        </is>
      </c>
      <c r="AW30" t="inlineStr">
        <is>
          <t>991004628649702656</t>
        </is>
      </c>
      <c r="AX30" t="inlineStr">
        <is>
          <t>991004628649702656</t>
        </is>
      </c>
      <c r="AY30" t="inlineStr">
        <is>
          <t>2266821820002656</t>
        </is>
      </c>
      <c r="AZ30" t="inlineStr">
        <is>
          <t>BOOK</t>
        </is>
      </c>
      <c r="BC30" t="inlineStr">
        <is>
          <t>32285001648111</t>
        </is>
      </c>
      <c r="BD30" t="inlineStr">
        <is>
          <t>893712829</t>
        </is>
      </c>
    </row>
    <row r="31">
      <c r="A31" t="inlineStr">
        <is>
          <t>No</t>
        </is>
      </c>
      <c r="B31" t="inlineStr">
        <is>
          <t>PF3117 .L7 1972</t>
        </is>
      </c>
      <c r="C31" t="inlineStr">
        <is>
          <t>0                      PF 3117000L  7           1972</t>
        </is>
      </c>
      <c r="D31" t="inlineStr">
        <is>
          <t>Aus unserer Zeit : Dichter des zwanzigsten Jahrhunderts / [Edited by] Ian C. Loram and Leland R. Phelps.</t>
        </is>
      </c>
      <c r="F31" t="inlineStr">
        <is>
          <t>No</t>
        </is>
      </c>
      <c r="G31" t="inlineStr">
        <is>
          <t>1</t>
        </is>
      </c>
      <c r="H31" t="inlineStr">
        <is>
          <t>No</t>
        </is>
      </c>
      <c r="I31" t="inlineStr">
        <is>
          <t>No</t>
        </is>
      </c>
      <c r="J31" t="inlineStr">
        <is>
          <t>0</t>
        </is>
      </c>
      <c r="K31" t="inlineStr">
        <is>
          <t>Loram, Ian C., editor.</t>
        </is>
      </c>
      <c r="L31" t="inlineStr">
        <is>
          <t>New York : Norton, c1972.</t>
        </is>
      </c>
      <c r="M31" t="inlineStr">
        <is>
          <t>1972</t>
        </is>
      </c>
      <c r="N31" t="inlineStr">
        <is>
          <t>3d ed.</t>
        </is>
      </c>
      <c r="O31" t="inlineStr">
        <is>
          <t>ger</t>
        </is>
      </c>
      <c r="P31" t="inlineStr">
        <is>
          <t>___</t>
        </is>
      </c>
      <c r="R31" t="inlineStr">
        <is>
          <t xml:space="preserve">PF </t>
        </is>
      </c>
      <c r="S31" t="n">
        <v>5</v>
      </c>
      <c r="T31" t="n">
        <v>5</v>
      </c>
      <c r="U31" t="inlineStr">
        <is>
          <t>1995-10-12</t>
        </is>
      </c>
      <c r="V31" t="inlineStr">
        <is>
          <t>1995-10-12</t>
        </is>
      </c>
      <c r="W31" t="inlineStr">
        <is>
          <t>1993-04-27</t>
        </is>
      </c>
      <c r="X31" t="inlineStr">
        <is>
          <t>1993-04-27</t>
        </is>
      </c>
      <c r="Y31" t="n">
        <v>87</v>
      </c>
      <c r="Z31" t="n">
        <v>73</v>
      </c>
      <c r="AA31" t="n">
        <v>323</v>
      </c>
      <c r="AB31" t="n">
        <v>1</v>
      </c>
      <c r="AC31" t="n">
        <v>5</v>
      </c>
      <c r="AD31" t="n">
        <v>0</v>
      </c>
      <c r="AE31" t="n">
        <v>18</v>
      </c>
      <c r="AF31" t="n">
        <v>0</v>
      </c>
      <c r="AG31" t="n">
        <v>8</v>
      </c>
      <c r="AH31" t="n">
        <v>0</v>
      </c>
      <c r="AI31" t="n">
        <v>5</v>
      </c>
      <c r="AJ31" t="n">
        <v>0</v>
      </c>
      <c r="AK31" t="n">
        <v>6</v>
      </c>
      <c r="AL31" t="n">
        <v>0</v>
      </c>
      <c r="AM31" t="n">
        <v>4</v>
      </c>
      <c r="AN31" t="n">
        <v>0</v>
      </c>
      <c r="AO31" t="n">
        <v>0</v>
      </c>
      <c r="AP31" t="inlineStr">
        <is>
          <t>No</t>
        </is>
      </c>
      <c r="AQ31" t="inlineStr">
        <is>
          <t>No</t>
        </is>
      </c>
      <c r="AS31">
        <f>HYPERLINK("https://creighton-primo.hosted.exlibrisgroup.com/primo-explore/search?tab=default_tab&amp;search_scope=EVERYTHING&amp;vid=01CRU&amp;lang=en_US&amp;offset=0&amp;query=any,contains,991003814209702656","Catalog Record")</f>
        <v/>
      </c>
      <c r="AT31">
        <f>HYPERLINK("http://www.worldcat.org/oclc/1544387","WorldCat Record")</f>
        <v/>
      </c>
      <c r="AU31" t="inlineStr">
        <is>
          <t>1606906:ger</t>
        </is>
      </c>
      <c r="AV31" t="inlineStr">
        <is>
          <t>1544387</t>
        </is>
      </c>
      <c r="AW31" t="inlineStr">
        <is>
          <t>991003814209702656</t>
        </is>
      </c>
      <c r="AX31" t="inlineStr">
        <is>
          <t>991003814209702656</t>
        </is>
      </c>
      <c r="AY31" t="inlineStr">
        <is>
          <t>2265800370002656</t>
        </is>
      </c>
      <c r="AZ31" t="inlineStr">
        <is>
          <t>BOOK</t>
        </is>
      </c>
      <c r="BB31" t="inlineStr">
        <is>
          <t>9780039309381</t>
        </is>
      </c>
      <c r="BC31" t="inlineStr">
        <is>
          <t>32285001648129</t>
        </is>
      </c>
      <c r="BD31" t="inlineStr">
        <is>
          <t>893722110</t>
        </is>
      </c>
    </row>
    <row r="32">
      <c r="A32" t="inlineStr">
        <is>
          <t>No</t>
        </is>
      </c>
      <c r="B32" t="inlineStr">
        <is>
          <t>PF3117 .O71 1984</t>
        </is>
      </c>
      <c r="C32" t="inlineStr">
        <is>
          <t>0                      PF 3117000O  71          1984</t>
        </is>
      </c>
      <c r="D32" t="inlineStr">
        <is>
          <t>Österreich erzählt : ein Lesebuch für Deutschlernende / Hrsg. von Jürgen Koppensteiner.</t>
        </is>
      </c>
      <c r="F32" t="inlineStr">
        <is>
          <t>No</t>
        </is>
      </c>
      <c r="G32" t="inlineStr">
        <is>
          <t>1</t>
        </is>
      </c>
      <c r="H32" t="inlineStr">
        <is>
          <t>Yes</t>
        </is>
      </c>
      <c r="I32" t="inlineStr">
        <is>
          <t>No</t>
        </is>
      </c>
      <c r="J32" t="inlineStr">
        <is>
          <t>0</t>
        </is>
      </c>
      <c r="L32" t="inlineStr">
        <is>
          <t>[Wien] : Bundesverlag, [1984]</t>
        </is>
      </c>
      <c r="M32" t="inlineStr">
        <is>
          <t>1984</t>
        </is>
      </c>
      <c r="O32" t="inlineStr">
        <is>
          <t>ger</t>
        </is>
      </c>
      <c r="P32" t="inlineStr">
        <is>
          <t xml:space="preserve">an </t>
        </is>
      </c>
      <c r="R32" t="inlineStr">
        <is>
          <t xml:space="preserve">PF </t>
        </is>
      </c>
      <c r="S32" t="n">
        <v>1</v>
      </c>
      <c r="T32" t="n">
        <v>2</v>
      </c>
      <c r="U32" t="inlineStr">
        <is>
          <t>2010-02-01</t>
        </is>
      </c>
      <c r="V32" t="inlineStr">
        <is>
          <t>2010-02-01</t>
        </is>
      </c>
      <c r="W32" t="inlineStr">
        <is>
          <t>1993-04-27</t>
        </is>
      </c>
      <c r="X32" t="inlineStr">
        <is>
          <t>1993-04-27</t>
        </is>
      </c>
      <c r="Y32" t="n">
        <v>37</v>
      </c>
      <c r="Z32" t="n">
        <v>26</v>
      </c>
      <c r="AA32" t="n">
        <v>28</v>
      </c>
      <c r="AB32" t="n">
        <v>1</v>
      </c>
      <c r="AC32" t="n">
        <v>1</v>
      </c>
      <c r="AD32" t="n">
        <v>0</v>
      </c>
      <c r="AE32" t="n">
        <v>0</v>
      </c>
      <c r="AF32" t="n">
        <v>0</v>
      </c>
      <c r="AG32" t="n">
        <v>0</v>
      </c>
      <c r="AH32" t="n">
        <v>0</v>
      </c>
      <c r="AI32" t="n">
        <v>0</v>
      </c>
      <c r="AJ32" t="n">
        <v>0</v>
      </c>
      <c r="AK32" t="n">
        <v>0</v>
      </c>
      <c r="AL32" t="n">
        <v>0</v>
      </c>
      <c r="AM32" t="n">
        <v>0</v>
      </c>
      <c r="AN32" t="n">
        <v>0</v>
      </c>
      <c r="AO32" t="n">
        <v>0</v>
      </c>
      <c r="AP32" t="inlineStr">
        <is>
          <t>No</t>
        </is>
      </c>
      <c r="AQ32" t="inlineStr">
        <is>
          <t>No</t>
        </is>
      </c>
      <c r="AS32">
        <f>HYPERLINK("https://creighton-primo.hosted.exlibrisgroup.com/primo-explore/search?tab=default_tab&amp;search_scope=EVERYTHING&amp;vid=01CRU&amp;lang=en_US&amp;offset=0&amp;query=any,contains,991000608229702656","Catalog Record")</f>
        <v/>
      </c>
      <c r="AT32">
        <f>HYPERLINK("http://www.worldcat.org/oclc/11873791","WorldCat Record")</f>
        <v/>
      </c>
      <c r="AU32" t="inlineStr">
        <is>
          <t>3147745296:ger</t>
        </is>
      </c>
      <c r="AV32" t="inlineStr">
        <is>
          <t>11873791</t>
        </is>
      </c>
      <c r="AW32" t="inlineStr">
        <is>
          <t>991000608229702656</t>
        </is>
      </c>
      <c r="AX32" t="inlineStr">
        <is>
          <t>991000608229702656</t>
        </is>
      </c>
      <c r="AY32" t="inlineStr">
        <is>
          <t>2267823840002656</t>
        </is>
      </c>
      <c r="AZ32" t="inlineStr">
        <is>
          <t>BOOK</t>
        </is>
      </c>
      <c r="BB32" t="inlineStr">
        <is>
          <t>9783215056758</t>
        </is>
      </c>
      <c r="BC32" t="inlineStr">
        <is>
          <t>32285001648137</t>
        </is>
      </c>
      <c r="BD32" t="inlineStr">
        <is>
          <t>893595709</t>
        </is>
      </c>
    </row>
    <row r="33">
      <c r="A33" t="inlineStr">
        <is>
          <t>No</t>
        </is>
      </c>
      <c r="B33" t="inlineStr">
        <is>
          <t>PF3117 .O71 1984 *SUPP.</t>
        </is>
      </c>
      <c r="C33" t="inlineStr">
        <is>
          <t>0                      PF 3117000O  71          1984                                        *SUPP.</t>
        </is>
      </c>
      <c r="D33" t="inlineStr">
        <is>
          <t>Österreich erzählt : ein Lesebuch für Deutschlernende / Hrsg. von Jürgen Koppensteiner.</t>
        </is>
      </c>
      <c r="F33" t="inlineStr">
        <is>
          <t>No</t>
        </is>
      </c>
      <c r="G33" t="inlineStr">
        <is>
          <t>1</t>
        </is>
      </c>
      <c r="H33" t="inlineStr">
        <is>
          <t>Yes</t>
        </is>
      </c>
      <c r="I33" t="inlineStr">
        <is>
          <t>No</t>
        </is>
      </c>
      <c r="J33" t="inlineStr">
        <is>
          <t>0</t>
        </is>
      </c>
      <c r="L33" t="inlineStr">
        <is>
          <t>[Wien] : Bundesverlag, [1984]</t>
        </is>
      </c>
      <c r="M33" t="inlineStr">
        <is>
          <t>1984</t>
        </is>
      </c>
      <c r="O33" t="inlineStr">
        <is>
          <t>ger</t>
        </is>
      </c>
      <c r="P33" t="inlineStr">
        <is>
          <t xml:space="preserve">an </t>
        </is>
      </c>
      <c r="R33" t="inlineStr">
        <is>
          <t xml:space="preserve">PF </t>
        </is>
      </c>
      <c r="S33" t="n">
        <v>1</v>
      </c>
      <c r="T33" t="n">
        <v>2</v>
      </c>
      <c r="U33" t="inlineStr">
        <is>
          <t>2010-02-01</t>
        </is>
      </c>
      <c r="V33" t="inlineStr">
        <is>
          <t>2010-02-01</t>
        </is>
      </c>
      <c r="W33" t="inlineStr">
        <is>
          <t>1993-04-27</t>
        </is>
      </c>
      <c r="X33" t="inlineStr">
        <is>
          <t>1993-04-27</t>
        </is>
      </c>
      <c r="Y33" t="n">
        <v>37</v>
      </c>
      <c r="Z33" t="n">
        <v>26</v>
      </c>
      <c r="AA33" t="n">
        <v>28</v>
      </c>
      <c r="AB33" t="n">
        <v>1</v>
      </c>
      <c r="AC33" t="n">
        <v>1</v>
      </c>
      <c r="AD33" t="n">
        <v>0</v>
      </c>
      <c r="AE33" t="n">
        <v>0</v>
      </c>
      <c r="AF33" t="n">
        <v>0</v>
      </c>
      <c r="AG33" t="n">
        <v>0</v>
      </c>
      <c r="AH33" t="n">
        <v>0</v>
      </c>
      <c r="AI33" t="n">
        <v>0</v>
      </c>
      <c r="AJ33" t="n">
        <v>0</v>
      </c>
      <c r="AK33" t="n">
        <v>0</v>
      </c>
      <c r="AL33" t="n">
        <v>0</v>
      </c>
      <c r="AM33" t="n">
        <v>0</v>
      </c>
      <c r="AN33" t="n">
        <v>0</v>
      </c>
      <c r="AO33" t="n">
        <v>0</v>
      </c>
      <c r="AP33" t="inlineStr">
        <is>
          <t>No</t>
        </is>
      </c>
      <c r="AQ33" t="inlineStr">
        <is>
          <t>No</t>
        </is>
      </c>
      <c r="AS33">
        <f>HYPERLINK("https://creighton-primo.hosted.exlibrisgroup.com/primo-explore/search?tab=default_tab&amp;search_scope=EVERYTHING&amp;vid=01CRU&amp;lang=en_US&amp;offset=0&amp;query=any,contains,991000608229702656","Catalog Record")</f>
        <v/>
      </c>
      <c r="AT33">
        <f>HYPERLINK("http://www.worldcat.org/oclc/11873791","WorldCat Record")</f>
        <v/>
      </c>
      <c r="AU33" t="inlineStr">
        <is>
          <t>3147745296:ger</t>
        </is>
      </c>
      <c r="AV33" t="inlineStr">
        <is>
          <t>11873791</t>
        </is>
      </c>
      <c r="AW33" t="inlineStr">
        <is>
          <t>991000608229702656</t>
        </is>
      </c>
      <c r="AX33" t="inlineStr">
        <is>
          <t>991000608229702656</t>
        </is>
      </c>
      <c r="AY33" t="inlineStr">
        <is>
          <t>2267823840002656</t>
        </is>
      </c>
      <c r="AZ33" t="inlineStr">
        <is>
          <t>BOOK</t>
        </is>
      </c>
      <c r="BB33" t="inlineStr">
        <is>
          <t>9783215056758</t>
        </is>
      </c>
      <c r="BC33" t="inlineStr">
        <is>
          <t>32285001648145</t>
        </is>
      </c>
      <c r="BD33" t="inlineStr">
        <is>
          <t>893626375</t>
        </is>
      </c>
    </row>
    <row r="34">
      <c r="A34" t="inlineStr">
        <is>
          <t>No</t>
        </is>
      </c>
      <c r="B34" t="inlineStr">
        <is>
          <t>PF3118 .G8 1983</t>
        </is>
      </c>
      <c r="C34" t="inlineStr">
        <is>
          <t>0                      PF 3118000G  8           1983</t>
        </is>
      </c>
      <c r="D34" t="inlineStr">
        <is>
          <t>Schaum's outline of German grammar / by Elke F. Gschossmann-Hendershot.</t>
        </is>
      </c>
      <c r="F34" t="inlineStr">
        <is>
          <t>No</t>
        </is>
      </c>
      <c r="G34" t="inlineStr">
        <is>
          <t>1</t>
        </is>
      </c>
      <c r="H34" t="inlineStr">
        <is>
          <t>No</t>
        </is>
      </c>
      <c r="I34" t="inlineStr">
        <is>
          <t>Yes</t>
        </is>
      </c>
      <c r="J34" t="inlineStr">
        <is>
          <t>0</t>
        </is>
      </c>
      <c r="K34" t="inlineStr">
        <is>
          <t>Gschossmann-Hendershot, Elke.</t>
        </is>
      </c>
      <c r="L34" t="inlineStr">
        <is>
          <t>New York : McGraw-Hill, c1983.</t>
        </is>
      </c>
      <c r="M34" t="inlineStr">
        <is>
          <t>1983</t>
        </is>
      </c>
      <c r="N34" t="inlineStr">
        <is>
          <t>2nd ed.</t>
        </is>
      </c>
      <c r="O34" t="inlineStr">
        <is>
          <t>eng</t>
        </is>
      </c>
      <c r="P34" t="inlineStr">
        <is>
          <t>nyu</t>
        </is>
      </c>
      <c r="Q34" t="inlineStr">
        <is>
          <t>Schaum's outline series</t>
        </is>
      </c>
      <c r="R34" t="inlineStr">
        <is>
          <t xml:space="preserve">PF </t>
        </is>
      </c>
      <c r="S34" t="n">
        <v>3</v>
      </c>
      <c r="T34" t="n">
        <v>3</v>
      </c>
      <c r="U34" t="inlineStr">
        <is>
          <t>1998-02-19</t>
        </is>
      </c>
      <c r="V34" t="inlineStr">
        <is>
          <t>1998-02-19</t>
        </is>
      </c>
      <c r="W34" t="inlineStr">
        <is>
          <t>1995-08-30</t>
        </is>
      </c>
      <c r="X34" t="inlineStr">
        <is>
          <t>1995-08-30</t>
        </is>
      </c>
      <c r="Y34" t="n">
        <v>138</v>
      </c>
      <c r="Z34" t="n">
        <v>89</v>
      </c>
      <c r="AA34" t="n">
        <v>962</v>
      </c>
      <c r="AB34" t="n">
        <v>2</v>
      </c>
      <c r="AC34" t="n">
        <v>3</v>
      </c>
      <c r="AD34" t="n">
        <v>1</v>
      </c>
      <c r="AE34" t="n">
        <v>14</v>
      </c>
      <c r="AF34" t="n">
        <v>0</v>
      </c>
      <c r="AG34" t="n">
        <v>7</v>
      </c>
      <c r="AH34" t="n">
        <v>0</v>
      </c>
      <c r="AI34" t="n">
        <v>2</v>
      </c>
      <c r="AJ34" t="n">
        <v>0</v>
      </c>
      <c r="AK34" t="n">
        <v>6</v>
      </c>
      <c r="AL34" t="n">
        <v>1</v>
      </c>
      <c r="AM34" t="n">
        <v>2</v>
      </c>
      <c r="AN34" t="n">
        <v>0</v>
      </c>
      <c r="AO34" t="n">
        <v>0</v>
      </c>
      <c r="AP34" t="inlineStr">
        <is>
          <t>No</t>
        </is>
      </c>
      <c r="AQ34" t="inlineStr">
        <is>
          <t>No</t>
        </is>
      </c>
      <c r="AS34">
        <f>HYPERLINK("https://creighton-primo.hosted.exlibrisgroup.com/primo-explore/search?tab=default_tab&amp;search_scope=EVERYTHING&amp;vid=01CRU&amp;lang=en_US&amp;offset=0&amp;query=any,contains,991005213029702656","Catalog Record")</f>
        <v/>
      </c>
      <c r="AT34">
        <f>HYPERLINK("http://www.worldcat.org/oclc/8171022","WorldCat Record")</f>
        <v/>
      </c>
      <c r="AU34" t="inlineStr">
        <is>
          <t>2274747:eng</t>
        </is>
      </c>
      <c r="AV34" t="inlineStr">
        <is>
          <t>8171022</t>
        </is>
      </c>
      <c r="AW34" t="inlineStr">
        <is>
          <t>991005213029702656</t>
        </is>
      </c>
      <c r="AX34" t="inlineStr">
        <is>
          <t>991005213029702656</t>
        </is>
      </c>
      <c r="AY34" t="inlineStr">
        <is>
          <t>2256931930002656</t>
        </is>
      </c>
      <c r="AZ34" t="inlineStr">
        <is>
          <t>BOOK</t>
        </is>
      </c>
      <c r="BB34" t="inlineStr">
        <is>
          <t>9780070250970</t>
        </is>
      </c>
      <c r="BC34" t="inlineStr">
        <is>
          <t>32285002092707</t>
        </is>
      </c>
      <c r="BD34" t="inlineStr">
        <is>
          <t>893902304</t>
        </is>
      </c>
    </row>
    <row r="35">
      <c r="A35" t="inlineStr">
        <is>
          <t>No</t>
        </is>
      </c>
      <c r="B35" t="inlineStr">
        <is>
          <t>PF3118 .G8 1997</t>
        </is>
      </c>
      <c r="C35" t="inlineStr">
        <is>
          <t>0                      PF 3118000G  8           1997</t>
        </is>
      </c>
      <c r="D35" t="inlineStr">
        <is>
          <t>Schaum's outline of German grammar / Elke Gschossmann-Hendershot, Lois M. Feuerle.</t>
        </is>
      </c>
      <c r="F35" t="inlineStr">
        <is>
          <t>No</t>
        </is>
      </c>
      <c r="G35" t="inlineStr">
        <is>
          <t>1</t>
        </is>
      </c>
      <c r="H35" t="inlineStr">
        <is>
          <t>No</t>
        </is>
      </c>
      <c r="I35" t="inlineStr">
        <is>
          <t>Yes</t>
        </is>
      </c>
      <c r="J35" t="inlineStr">
        <is>
          <t>0</t>
        </is>
      </c>
      <c r="K35" t="inlineStr">
        <is>
          <t>Gschossmann-Hendershot, Elke.</t>
        </is>
      </c>
      <c r="L35" t="inlineStr">
        <is>
          <t>New York : McGraw-Hill, c1997.</t>
        </is>
      </c>
      <c r="M35" t="inlineStr">
        <is>
          <t>1997</t>
        </is>
      </c>
      <c r="N35" t="inlineStr">
        <is>
          <t>3rd ed.</t>
        </is>
      </c>
      <c r="O35" t="inlineStr">
        <is>
          <t>eng</t>
        </is>
      </c>
      <c r="P35" t="inlineStr">
        <is>
          <t>nyu</t>
        </is>
      </c>
      <c r="Q35" t="inlineStr">
        <is>
          <t>Schaum's outline series</t>
        </is>
      </c>
      <c r="R35" t="inlineStr">
        <is>
          <t xml:space="preserve">PF </t>
        </is>
      </c>
      <c r="S35" t="n">
        <v>8</v>
      </c>
      <c r="T35" t="n">
        <v>8</v>
      </c>
      <c r="U35" t="inlineStr">
        <is>
          <t>2010-08-01</t>
        </is>
      </c>
      <c r="V35" t="inlineStr">
        <is>
          <t>2010-08-01</t>
        </is>
      </c>
      <c r="W35" t="inlineStr">
        <is>
          <t>1997-03-14</t>
        </is>
      </c>
      <c r="X35" t="inlineStr">
        <is>
          <t>1997-03-14</t>
        </is>
      </c>
      <c r="Y35" t="n">
        <v>209</v>
      </c>
      <c r="Z35" t="n">
        <v>156</v>
      </c>
      <c r="AA35" t="n">
        <v>962</v>
      </c>
      <c r="AB35" t="n">
        <v>1</v>
      </c>
      <c r="AC35" t="n">
        <v>3</v>
      </c>
      <c r="AD35" t="n">
        <v>0</v>
      </c>
      <c r="AE35" t="n">
        <v>14</v>
      </c>
      <c r="AF35" t="n">
        <v>0</v>
      </c>
      <c r="AG35" t="n">
        <v>7</v>
      </c>
      <c r="AH35" t="n">
        <v>0</v>
      </c>
      <c r="AI35" t="n">
        <v>2</v>
      </c>
      <c r="AJ35" t="n">
        <v>0</v>
      </c>
      <c r="AK35" t="n">
        <v>6</v>
      </c>
      <c r="AL35" t="n">
        <v>0</v>
      </c>
      <c r="AM35" t="n">
        <v>2</v>
      </c>
      <c r="AN35" t="n">
        <v>0</v>
      </c>
      <c r="AO35" t="n">
        <v>0</v>
      </c>
      <c r="AP35" t="inlineStr">
        <is>
          <t>No</t>
        </is>
      </c>
      <c r="AQ35" t="inlineStr">
        <is>
          <t>No</t>
        </is>
      </c>
      <c r="AS35">
        <f>HYPERLINK("https://creighton-primo.hosted.exlibrisgroup.com/primo-explore/search?tab=default_tab&amp;search_scope=EVERYTHING&amp;vid=01CRU&amp;lang=en_US&amp;offset=0&amp;query=any,contains,991002702189702656","Catalog Record")</f>
        <v/>
      </c>
      <c r="AT35">
        <f>HYPERLINK("http://www.worldcat.org/oclc/35280614","WorldCat Record")</f>
        <v/>
      </c>
      <c r="AU35" t="inlineStr">
        <is>
          <t>2274747:eng</t>
        </is>
      </c>
      <c r="AV35" t="inlineStr">
        <is>
          <t>35280614</t>
        </is>
      </c>
      <c r="AW35" t="inlineStr">
        <is>
          <t>991002702189702656</t>
        </is>
      </c>
      <c r="AX35" t="inlineStr">
        <is>
          <t>991002702189702656</t>
        </is>
      </c>
      <c r="AY35" t="inlineStr">
        <is>
          <t>2255057520002656</t>
        </is>
      </c>
      <c r="AZ35" t="inlineStr">
        <is>
          <t>BOOK</t>
        </is>
      </c>
      <c r="BB35" t="inlineStr">
        <is>
          <t>9780070251342</t>
        </is>
      </c>
      <c r="BC35" t="inlineStr">
        <is>
          <t>32285002443256</t>
        </is>
      </c>
      <c r="BD35" t="inlineStr">
        <is>
          <t>893610171</t>
        </is>
      </c>
    </row>
    <row r="36">
      <c r="A36" t="inlineStr">
        <is>
          <t>No</t>
        </is>
      </c>
      <c r="B36" t="inlineStr">
        <is>
          <t>PF3119 .L55 1983</t>
        </is>
      </c>
      <c r="C36" t="inlineStr">
        <is>
          <t>0                      PF 3119000L  55          1983</t>
        </is>
      </c>
      <c r="D36" t="inlineStr">
        <is>
          <t>Teste dein Wirtschaftsdeutsch! / von Charlotte Lissok.</t>
        </is>
      </c>
      <c r="F36" t="inlineStr">
        <is>
          <t>No</t>
        </is>
      </c>
      <c r="G36" t="inlineStr">
        <is>
          <t>1</t>
        </is>
      </c>
      <c r="H36" t="inlineStr">
        <is>
          <t>No</t>
        </is>
      </c>
      <c r="I36" t="inlineStr">
        <is>
          <t>No</t>
        </is>
      </c>
      <c r="J36" t="inlineStr">
        <is>
          <t>0</t>
        </is>
      </c>
      <c r="K36" t="inlineStr">
        <is>
          <t>Lissok, Charlotte.</t>
        </is>
      </c>
      <c r="L36" t="inlineStr">
        <is>
          <t>Berlin : Langenscheidt, c1983.</t>
        </is>
      </c>
      <c r="M36" t="inlineStr">
        <is>
          <t>1983</t>
        </is>
      </c>
      <c r="O36" t="inlineStr">
        <is>
          <t>ger</t>
        </is>
      </c>
      <c r="P36" t="inlineStr">
        <is>
          <t xml:space="preserve">gw </t>
        </is>
      </c>
      <c r="R36" t="inlineStr">
        <is>
          <t xml:space="preserve">PF </t>
        </is>
      </c>
      <c r="S36" t="n">
        <v>5</v>
      </c>
      <c r="T36" t="n">
        <v>5</v>
      </c>
      <c r="U36" t="inlineStr">
        <is>
          <t>2009-10-13</t>
        </is>
      </c>
      <c r="V36" t="inlineStr">
        <is>
          <t>2009-10-13</t>
        </is>
      </c>
      <c r="W36" t="inlineStr">
        <is>
          <t>1992-04-22</t>
        </is>
      </c>
      <c r="X36" t="inlineStr">
        <is>
          <t>1992-04-22</t>
        </is>
      </c>
      <c r="Y36" t="n">
        <v>85</v>
      </c>
      <c r="Z36" t="n">
        <v>34</v>
      </c>
      <c r="AA36" t="n">
        <v>34</v>
      </c>
      <c r="AB36" t="n">
        <v>1</v>
      </c>
      <c r="AC36" t="n">
        <v>1</v>
      </c>
      <c r="AD36" t="n">
        <v>3</v>
      </c>
      <c r="AE36" t="n">
        <v>3</v>
      </c>
      <c r="AF36" t="n">
        <v>2</v>
      </c>
      <c r="AG36" t="n">
        <v>2</v>
      </c>
      <c r="AH36" t="n">
        <v>0</v>
      </c>
      <c r="AI36" t="n">
        <v>0</v>
      </c>
      <c r="AJ36" t="n">
        <v>2</v>
      </c>
      <c r="AK36" t="n">
        <v>2</v>
      </c>
      <c r="AL36" t="n">
        <v>0</v>
      </c>
      <c r="AM36" t="n">
        <v>0</v>
      </c>
      <c r="AN36" t="n">
        <v>0</v>
      </c>
      <c r="AO36" t="n">
        <v>0</v>
      </c>
      <c r="AP36" t="inlineStr">
        <is>
          <t>No</t>
        </is>
      </c>
      <c r="AQ36" t="inlineStr">
        <is>
          <t>No</t>
        </is>
      </c>
      <c r="AS36">
        <f>HYPERLINK("https://creighton-primo.hosted.exlibrisgroup.com/primo-explore/search?tab=default_tab&amp;search_scope=EVERYTHING&amp;vid=01CRU&amp;lang=en_US&amp;offset=0&amp;query=any,contains,991000540349702656","Catalog Record")</f>
        <v/>
      </c>
      <c r="AT36">
        <f>HYPERLINK("http://www.worldcat.org/oclc/11475671","WorldCat Record")</f>
        <v/>
      </c>
      <c r="AU36" t="inlineStr">
        <is>
          <t>4047012:ger</t>
        </is>
      </c>
      <c r="AV36" t="inlineStr">
        <is>
          <t>11475671</t>
        </is>
      </c>
      <c r="AW36" t="inlineStr">
        <is>
          <t>991000540349702656</t>
        </is>
      </c>
      <c r="AX36" t="inlineStr">
        <is>
          <t>991000540349702656</t>
        </is>
      </c>
      <c r="AY36" t="inlineStr">
        <is>
          <t>2269079770002656</t>
        </is>
      </c>
      <c r="AZ36" t="inlineStr">
        <is>
          <t>BOOK</t>
        </is>
      </c>
      <c r="BB36" t="inlineStr">
        <is>
          <t>9783468385278</t>
        </is>
      </c>
      <c r="BC36" t="inlineStr">
        <is>
          <t>32285001063881</t>
        </is>
      </c>
      <c r="BD36" t="inlineStr">
        <is>
          <t>893225082</t>
        </is>
      </c>
    </row>
    <row r="37">
      <c r="A37" t="inlineStr">
        <is>
          <t>No</t>
        </is>
      </c>
      <c r="B37" t="inlineStr">
        <is>
          <t>PF3120.T45 M3 1973b</t>
        </is>
      </c>
      <c r="C37" t="inlineStr">
        <is>
          <t>0                      PF 3120000T  45                 M  3           1973b</t>
        </is>
      </c>
      <c r="D37" t="inlineStr">
        <is>
          <t>Introduction to theological German [by] J. D. Manton.</t>
        </is>
      </c>
      <c r="F37" t="inlineStr">
        <is>
          <t>No</t>
        </is>
      </c>
      <c r="G37" t="inlineStr">
        <is>
          <t>1</t>
        </is>
      </c>
      <c r="H37" t="inlineStr">
        <is>
          <t>No</t>
        </is>
      </c>
      <c r="I37" t="inlineStr">
        <is>
          <t>No</t>
        </is>
      </c>
      <c r="J37" t="inlineStr">
        <is>
          <t>0</t>
        </is>
      </c>
      <c r="K37" t="inlineStr">
        <is>
          <t>Manton, J. D.</t>
        </is>
      </c>
      <c r="L37" t="inlineStr">
        <is>
          <t>London, Tyndale Press, 1973]</t>
        </is>
      </c>
      <c r="M37" t="inlineStr">
        <is>
          <t>1973</t>
        </is>
      </c>
      <c r="N37" t="inlineStr">
        <is>
          <t>[2d ed.</t>
        </is>
      </c>
      <c r="O37" t="inlineStr">
        <is>
          <t>eng</t>
        </is>
      </c>
      <c r="P37" t="inlineStr">
        <is>
          <t>enk</t>
        </is>
      </c>
      <c r="R37" t="inlineStr">
        <is>
          <t xml:space="preserve">PF </t>
        </is>
      </c>
      <c r="S37" t="n">
        <v>2</v>
      </c>
      <c r="T37" t="n">
        <v>2</v>
      </c>
      <c r="U37" t="inlineStr">
        <is>
          <t>2008-11-02</t>
        </is>
      </c>
      <c r="V37" t="inlineStr">
        <is>
          <t>2008-11-02</t>
        </is>
      </c>
      <c r="W37" t="inlineStr">
        <is>
          <t>1997-10-01</t>
        </is>
      </c>
      <c r="X37" t="inlineStr">
        <is>
          <t>1997-10-01</t>
        </is>
      </c>
      <c r="Y37" t="n">
        <v>29</v>
      </c>
      <c r="Z37" t="n">
        <v>13</v>
      </c>
      <c r="AA37" t="n">
        <v>271</v>
      </c>
      <c r="AB37" t="n">
        <v>1</v>
      </c>
      <c r="AC37" t="n">
        <v>3</v>
      </c>
      <c r="AD37" t="n">
        <v>0</v>
      </c>
      <c r="AE37" t="n">
        <v>21</v>
      </c>
      <c r="AF37" t="n">
        <v>0</v>
      </c>
      <c r="AG37" t="n">
        <v>8</v>
      </c>
      <c r="AH37" t="n">
        <v>0</v>
      </c>
      <c r="AI37" t="n">
        <v>4</v>
      </c>
      <c r="AJ37" t="n">
        <v>0</v>
      </c>
      <c r="AK37" t="n">
        <v>12</v>
      </c>
      <c r="AL37" t="n">
        <v>0</v>
      </c>
      <c r="AM37" t="n">
        <v>2</v>
      </c>
      <c r="AN37" t="n">
        <v>0</v>
      </c>
      <c r="AO37" t="n">
        <v>0</v>
      </c>
      <c r="AP37" t="inlineStr">
        <is>
          <t>No</t>
        </is>
      </c>
      <c r="AQ37" t="inlineStr">
        <is>
          <t>No</t>
        </is>
      </c>
      <c r="AS37">
        <f>HYPERLINK("https://creighton-primo.hosted.exlibrisgroup.com/primo-explore/search?tab=default_tab&amp;search_scope=EVERYTHING&amp;vid=01CRU&amp;lang=en_US&amp;offset=0&amp;query=any,contains,991003265139702656","Catalog Record")</f>
        <v/>
      </c>
      <c r="AT37">
        <f>HYPERLINK("http://www.worldcat.org/oclc/790727","WorldCat Record")</f>
        <v/>
      </c>
      <c r="AU37" t="inlineStr">
        <is>
          <t>454549:eng</t>
        </is>
      </c>
      <c r="AV37" t="inlineStr">
        <is>
          <t>790727</t>
        </is>
      </c>
      <c r="AW37" t="inlineStr">
        <is>
          <t>991003265139702656</t>
        </is>
      </c>
      <c r="AX37" t="inlineStr">
        <is>
          <t>991003265139702656</t>
        </is>
      </c>
      <c r="AY37" t="inlineStr">
        <is>
          <t>2263965370002656</t>
        </is>
      </c>
      <c r="AZ37" t="inlineStr">
        <is>
          <t>BOOK</t>
        </is>
      </c>
      <c r="BB37" t="inlineStr">
        <is>
          <t>9780802815149</t>
        </is>
      </c>
      <c r="BC37" t="inlineStr">
        <is>
          <t>32285003249462</t>
        </is>
      </c>
      <c r="BD37" t="inlineStr">
        <is>
          <t>893330148</t>
        </is>
      </c>
    </row>
    <row r="38">
      <c r="A38" t="inlineStr">
        <is>
          <t>No</t>
        </is>
      </c>
      <c r="B38" t="inlineStr">
        <is>
          <t>PF3121 .B38</t>
        </is>
      </c>
      <c r="C38" t="inlineStr">
        <is>
          <t>0                      PF 3121000B  38</t>
        </is>
      </c>
      <c r="D38" t="inlineStr">
        <is>
          <t>Lebendiges Deutsch / by Eric W. &amp; Brigitt Bauer.</t>
        </is>
      </c>
      <c r="F38" t="inlineStr">
        <is>
          <t>No</t>
        </is>
      </c>
      <c r="G38" t="inlineStr">
        <is>
          <t>1</t>
        </is>
      </c>
      <c r="H38" t="inlineStr">
        <is>
          <t>Yes</t>
        </is>
      </c>
      <c r="I38" t="inlineStr">
        <is>
          <t>No</t>
        </is>
      </c>
      <c r="J38" t="inlineStr">
        <is>
          <t>0</t>
        </is>
      </c>
      <c r="K38" t="inlineStr">
        <is>
          <t>Bauer, Eric W.</t>
        </is>
      </c>
      <c r="L38" t="inlineStr">
        <is>
          <t>New York : Holt, Rinehart and Winston, [1967]</t>
        </is>
      </c>
      <c r="M38" t="inlineStr">
        <is>
          <t>1967</t>
        </is>
      </c>
      <c r="O38" t="inlineStr">
        <is>
          <t>ger</t>
        </is>
      </c>
      <c r="P38" t="inlineStr">
        <is>
          <t>nyu</t>
        </is>
      </c>
      <c r="R38" t="inlineStr">
        <is>
          <t xml:space="preserve">PF </t>
        </is>
      </c>
      <c r="S38" t="n">
        <v>5</v>
      </c>
      <c r="T38" t="n">
        <v>6</v>
      </c>
      <c r="U38" t="inlineStr">
        <is>
          <t>1995-02-26</t>
        </is>
      </c>
      <c r="V38" t="inlineStr">
        <is>
          <t>1995-02-26</t>
        </is>
      </c>
      <c r="W38" t="inlineStr">
        <is>
          <t>1991-09-30</t>
        </is>
      </c>
      <c r="X38" t="inlineStr">
        <is>
          <t>1991-09-30</t>
        </is>
      </c>
      <c r="Y38" t="n">
        <v>86</v>
      </c>
      <c r="Z38" t="n">
        <v>73</v>
      </c>
      <c r="AA38" t="n">
        <v>90</v>
      </c>
      <c r="AB38" t="n">
        <v>1</v>
      </c>
      <c r="AC38" t="n">
        <v>1</v>
      </c>
      <c r="AD38" t="n">
        <v>4</v>
      </c>
      <c r="AE38" t="n">
        <v>6</v>
      </c>
      <c r="AF38" t="n">
        <v>2</v>
      </c>
      <c r="AG38" t="n">
        <v>3</v>
      </c>
      <c r="AH38" t="n">
        <v>1</v>
      </c>
      <c r="AI38" t="n">
        <v>2</v>
      </c>
      <c r="AJ38" t="n">
        <v>2</v>
      </c>
      <c r="AK38" t="n">
        <v>2</v>
      </c>
      <c r="AL38" t="n">
        <v>0</v>
      </c>
      <c r="AM38" t="n">
        <v>0</v>
      </c>
      <c r="AN38" t="n">
        <v>0</v>
      </c>
      <c r="AO38" t="n">
        <v>0</v>
      </c>
      <c r="AP38" t="inlineStr">
        <is>
          <t>No</t>
        </is>
      </c>
      <c r="AQ38" t="inlineStr">
        <is>
          <t>Yes</t>
        </is>
      </c>
      <c r="AR38">
        <f>HYPERLINK("http://catalog.hathitrust.org/Record/007092520","HathiTrust Record")</f>
        <v/>
      </c>
      <c r="AS38">
        <f>HYPERLINK("https://creighton-primo.hosted.exlibrisgroup.com/primo-explore/search?tab=default_tab&amp;search_scope=EVERYTHING&amp;vid=01CRU&amp;lang=en_US&amp;offset=0&amp;query=any,contains,991004073169702656","Catalog Record")</f>
        <v/>
      </c>
      <c r="AT38">
        <f>HYPERLINK("http://www.worldcat.org/oclc/2310164","WorldCat Record")</f>
        <v/>
      </c>
      <c r="AU38" t="inlineStr">
        <is>
          <t>4539147:ger</t>
        </is>
      </c>
      <c r="AV38" t="inlineStr">
        <is>
          <t>2310164</t>
        </is>
      </c>
      <c r="AW38" t="inlineStr">
        <is>
          <t>991004073169702656</t>
        </is>
      </c>
      <c r="AX38" t="inlineStr">
        <is>
          <t>991004073169702656</t>
        </is>
      </c>
      <c r="AY38" t="inlineStr">
        <is>
          <t>2261323300002656</t>
        </is>
      </c>
      <c r="AZ38" t="inlineStr">
        <is>
          <t>BOOK</t>
        </is>
      </c>
      <c r="BC38" t="inlineStr">
        <is>
          <t>32285000764422</t>
        </is>
      </c>
      <c r="BD38" t="inlineStr">
        <is>
          <t>893712124</t>
        </is>
      </c>
    </row>
    <row r="39">
      <c r="A39" t="inlineStr">
        <is>
          <t>No</t>
        </is>
      </c>
      <c r="B39" t="inlineStr">
        <is>
          <t>PF3121 .B38</t>
        </is>
      </c>
      <c r="C39" t="inlineStr">
        <is>
          <t>0                      PF 3121000B  38</t>
        </is>
      </c>
      <c r="D39" t="inlineStr">
        <is>
          <t>Lebendiges Deutsch / by Eric W. &amp; Brigitt Bauer.</t>
        </is>
      </c>
      <c r="F39" t="inlineStr">
        <is>
          <t>No</t>
        </is>
      </c>
      <c r="G39" t="inlineStr">
        <is>
          <t>1</t>
        </is>
      </c>
      <c r="H39" t="inlineStr">
        <is>
          <t>Yes</t>
        </is>
      </c>
      <c r="I39" t="inlineStr">
        <is>
          <t>No</t>
        </is>
      </c>
      <c r="J39" t="inlineStr">
        <is>
          <t>0</t>
        </is>
      </c>
      <c r="K39" t="inlineStr">
        <is>
          <t>Bauer, Eric W.</t>
        </is>
      </c>
      <c r="L39" t="inlineStr">
        <is>
          <t>New York : Holt, Rinehart and Winston, [1967]</t>
        </is>
      </c>
      <c r="M39" t="inlineStr">
        <is>
          <t>1967</t>
        </is>
      </c>
      <c r="O39" t="inlineStr">
        <is>
          <t>ger</t>
        </is>
      </c>
      <c r="P39" t="inlineStr">
        <is>
          <t>nyu</t>
        </is>
      </c>
      <c r="R39" t="inlineStr">
        <is>
          <t xml:space="preserve">PF </t>
        </is>
      </c>
      <c r="S39" t="n">
        <v>1</v>
      </c>
      <c r="T39" t="n">
        <v>6</v>
      </c>
      <c r="U39" t="inlineStr">
        <is>
          <t>1995-02-26</t>
        </is>
      </c>
      <c r="V39" t="inlineStr">
        <is>
          <t>1995-02-26</t>
        </is>
      </c>
      <c r="W39" t="inlineStr">
        <is>
          <t>1991-09-30</t>
        </is>
      </c>
      <c r="X39" t="inlineStr">
        <is>
          <t>1991-09-30</t>
        </is>
      </c>
      <c r="Y39" t="n">
        <v>86</v>
      </c>
      <c r="Z39" t="n">
        <v>73</v>
      </c>
      <c r="AA39" t="n">
        <v>90</v>
      </c>
      <c r="AB39" t="n">
        <v>1</v>
      </c>
      <c r="AC39" t="n">
        <v>1</v>
      </c>
      <c r="AD39" t="n">
        <v>4</v>
      </c>
      <c r="AE39" t="n">
        <v>6</v>
      </c>
      <c r="AF39" t="n">
        <v>2</v>
      </c>
      <c r="AG39" t="n">
        <v>3</v>
      </c>
      <c r="AH39" t="n">
        <v>1</v>
      </c>
      <c r="AI39" t="n">
        <v>2</v>
      </c>
      <c r="AJ39" t="n">
        <v>2</v>
      </c>
      <c r="AK39" t="n">
        <v>2</v>
      </c>
      <c r="AL39" t="n">
        <v>0</v>
      </c>
      <c r="AM39" t="n">
        <v>0</v>
      </c>
      <c r="AN39" t="n">
        <v>0</v>
      </c>
      <c r="AO39" t="n">
        <v>0</v>
      </c>
      <c r="AP39" t="inlineStr">
        <is>
          <t>No</t>
        </is>
      </c>
      <c r="AQ39" t="inlineStr">
        <is>
          <t>Yes</t>
        </is>
      </c>
      <c r="AR39">
        <f>HYPERLINK("http://catalog.hathitrust.org/Record/007092520","HathiTrust Record")</f>
        <v/>
      </c>
      <c r="AS39">
        <f>HYPERLINK("https://creighton-primo.hosted.exlibrisgroup.com/primo-explore/search?tab=default_tab&amp;search_scope=EVERYTHING&amp;vid=01CRU&amp;lang=en_US&amp;offset=0&amp;query=any,contains,991004073169702656","Catalog Record")</f>
        <v/>
      </c>
      <c r="AT39">
        <f>HYPERLINK("http://www.worldcat.org/oclc/2310164","WorldCat Record")</f>
        <v/>
      </c>
      <c r="AU39" t="inlineStr">
        <is>
          <t>4539147:ger</t>
        </is>
      </c>
      <c r="AV39" t="inlineStr">
        <is>
          <t>2310164</t>
        </is>
      </c>
      <c r="AW39" t="inlineStr">
        <is>
          <t>991004073169702656</t>
        </is>
      </c>
      <c r="AX39" t="inlineStr">
        <is>
          <t>991004073169702656</t>
        </is>
      </c>
      <c r="AY39" t="inlineStr">
        <is>
          <t>2261323300002656</t>
        </is>
      </c>
      <c r="AZ39" t="inlineStr">
        <is>
          <t>BOOK</t>
        </is>
      </c>
      <c r="BC39" t="inlineStr">
        <is>
          <t>32285000764430</t>
        </is>
      </c>
      <c r="BD39" t="inlineStr">
        <is>
          <t>893718432</t>
        </is>
      </c>
    </row>
    <row r="40">
      <c r="A40" t="inlineStr">
        <is>
          <t>No</t>
        </is>
      </c>
      <c r="B40" t="inlineStr">
        <is>
          <t>PF3121 .R62 1973</t>
        </is>
      </c>
      <c r="C40" t="inlineStr">
        <is>
          <t>0                      PF 3121000R  62          1973</t>
        </is>
      </c>
      <c r="D40" t="inlineStr">
        <is>
          <t>German through conversational patterns for classroom and laboratory / R. Max Rogers [and] Arthur R. Watkins.</t>
        </is>
      </c>
      <c r="F40" t="inlineStr">
        <is>
          <t>No</t>
        </is>
      </c>
      <c r="G40" t="inlineStr">
        <is>
          <t>1</t>
        </is>
      </c>
      <c r="H40" t="inlineStr">
        <is>
          <t>No</t>
        </is>
      </c>
      <c r="I40" t="inlineStr">
        <is>
          <t>No</t>
        </is>
      </c>
      <c r="J40" t="inlineStr">
        <is>
          <t>0</t>
        </is>
      </c>
      <c r="K40" t="inlineStr">
        <is>
          <t>Rogers, R. Max, 1918-</t>
        </is>
      </c>
      <c r="L40" t="inlineStr">
        <is>
          <t>New York : Dodd, Mead, 1973.</t>
        </is>
      </c>
      <c r="M40" t="inlineStr">
        <is>
          <t>1973</t>
        </is>
      </c>
      <c r="N40" t="inlineStr">
        <is>
          <t>2d ed.</t>
        </is>
      </c>
      <c r="O40" t="inlineStr">
        <is>
          <t>eng</t>
        </is>
      </c>
      <c r="P40" t="inlineStr">
        <is>
          <t>nyu</t>
        </is>
      </c>
      <c r="R40" t="inlineStr">
        <is>
          <t xml:space="preserve">PF </t>
        </is>
      </c>
      <c r="S40" t="n">
        <v>4</v>
      </c>
      <c r="T40" t="n">
        <v>4</v>
      </c>
      <c r="U40" t="inlineStr">
        <is>
          <t>1995-02-26</t>
        </is>
      </c>
      <c r="V40" t="inlineStr">
        <is>
          <t>1995-02-26</t>
        </is>
      </c>
      <c r="W40" t="inlineStr">
        <is>
          <t>1993-04-27</t>
        </is>
      </c>
      <c r="X40" t="inlineStr">
        <is>
          <t>1993-04-27</t>
        </is>
      </c>
      <c r="Y40" t="n">
        <v>70</v>
      </c>
      <c r="Z40" t="n">
        <v>66</v>
      </c>
      <c r="AA40" t="n">
        <v>215</v>
      </c>
      <c r="AB40" t="n">
        <v>1</v>
      </c>
      <c r="AC40" t="n">
        <v>2</v>
      </c>
      <c r="AD40" t="n">
        <v>1</v>
      </c>
      <c r="AE40" t="n">
        <v>10</v>
      </c>
      <c r="AF40" t="n">
        <v>1</v>
      </c>
      <c r="AG40" t="n">
        <v>6</v>
      </c>
      <c r="AH40" t="n">
        <v>0</v>
      </c>
      <c r="AI40" t="n">
        <v>2</v>
      </c>
      <c r="AJ40" t="n">
        <v>1</v>
      </c>
      <c r="AK40" t="n">
        <v>4</v>
      </c>
      <c r="AL40" t="n">
        <v>0</v>
      </c>
      <c r="AM40" t="n">
        <v>1</v>
      </c>
      <c r="AN40" t="n">
        <v>0</v>
      </c>
      <c r="AO40" t="n">
        <v>0</v>
      </c>
      <c r="AP40" t="inlineStr">
        <is>
          <t>No</t>
        </is>
      </c>
      <c r="AQ40" t="inlineStr">
        <is>
          <t>Yes</t>
        </is>
      </c>
      <c r="AR40">
        <f>HYPERLINK("http://catalog.hathitrust.org/Record/009922221","HathiTrust Record")</f>
        <v/>
      </c>
      <c r="AS40">
        <f>HYPERLINK("https://creighton-primo.hosted.exlibrisgroup.com/primo-explore/search?tab=default_tab&amp;search_scope=EVERYTHING&amp;vid=01CRU&amp;lang=en_US&amp;offset=0&amp;query=any,contains,991003060369702656","Catalog Record")</f>
        <v/>
      </c>
      <c r="AT40">
        <f>HYPERLINK("http://www.worldcat.org/oclc/617908","WorldCat Record")</f>
        <v/>
      </c>
      <c r="AU40" t="inlineStr">
        <is>
          <t>1674173:eng</t>
        </is>
      </c>
      <c r="AV40" t="inlineStr">
        <is>
          <t>617908</t>
        </is>
      </c>
      <c r="AW40" t="inlineStr">
        <is>
          <t>991003060369702656</t>
        </is>
      </c>
      <c r="AX40" t="inlineStr">
        <is>
          <t>991003060369702656</t>
        </is>
      </c>
      <c r="AY40" t="inlineStr">
        <is>
          <t>2270849190002656</t>
        </is>
      </c>
      <c r="AZ40" t="inlineStr">
        <is>
          <t>BOOK</t>
        </is>
      </c>
      <c r="BB40" t="inlineStr">
        <is>
          <t>9780396067566</t>
        </is>
      </c>
      <c r="BC40" t="inlineStr">
        <is>
          <t>32285001648186</t>
        </is>
      </c>
      <c r="BD40" t="inlineStr">
        <is>
          <t>893409880</t>
        </is>
      </c>
    </row>
    <row r="41">
      <c r="A41" t="inlineStr">
        <is>
          <t>No</t>
        </is>
      </c>
      <c r="B41" t="inlineStr">
        <is>
          <t>PF3127.M4 B8</t>
        </is>
      </c>
      <c r="C41" t="inlineStr">
        <is>
          <t>0                      PF 3127000M  4                  B  8</t>
        </is>
      </c>
      <c r="D41" t="inlineStr">
        <is>
          <t>Readings in medical German, by Oscar Burkhard.</t>
        </is>
      </c>
      <c r="F41" t="inlineStr">
        <is>
          <t>No</t>
        </is>
      </c>
      <c r="G41" t="inlineStr">
        <is>
          <t>1</t>
        </is>
      </c>
      <c r="H41" t="inlineStr">
        <is>
          <t>No</t>
        </is>
      </c>
      <c r="I41" t="inlineStr">
        <is>
          <t>No</t>
        </is>
      </c>
      <c r="J41" t="inlineStr">
        <is>
          <t>0</t>
        </is>
      </c>
      <c r="K41" t="inlineStr">
        <is>
          <t>Burkhard, Oscar Carl.</t>
        </is>
      </c>
      <c r="L41" t="inlineStr">
        <is>
          <t>New York, H. Holt [c1930]</t>
        </is>
      </c>
      <c r="M41" t="inlineStr">
        <is>
          <t>1930</t>
        </is>
      </c>
      <c r="O41" t="inlineStr">
        <is>
          <t>ger</t>
        </is>
      </c>
      <c r="P41" t="inlineStr">
        <is>
          <t>nyu</t>
        </is>
      </c>
      <c r="R41" t="inlineStr">
        <is>
          <t xml:space="preserve">PF </t>
        </is>
      </c>
      <c r="S41" t="n">
        <v>1</v>
      </c>
      <c r="T41" t="n">
        <v>1</v>
      </c>
      <c r="U41" t="inlineStr">
        <is>
          <t>2009-06-17</t>
        </is>
      </c>
      <c r="V41" t="inlineStr">
        <is>
          <t>2009-06-17</t>
        </is>
      </c>
      <c r="W41" t="inlineStr">
        <is>
          <t>1997-10-01</t>
        </is>
      </c>
      <c r="X41" t="inlineStr">
        <is>
          <t>1997-10-01</t>
        </is>
      </c>
      <c r="Y41" t="n">
        <v>111</v>
      </c>
      <c r="Z41" t="n">
        <v>106</v>
      </c>
      <c r="AA41" t="n">
        <v>113</v>
      </c>
      <c r="AB41" t="n">
        <v>1</v>
      </c>
      <c r="AC41" t="n">
        <v>1</v>
      </c>
      <c r="AD41" t="n">
        <v>5</v>
      </c>
      <c r="AE41" t="n">
        <v>5</v>
      </c>
      <c r="AF41" t="n">
        <v>2</v>
      </c>
      <c r="AG41" t="n">
        <v>2</v>
      </c>
      <c r="AH41" t="n">
        <v>0</v>
      </c>
      <c r="AI41" t="n">
        <v>0</v>
      </c>
      <c r="AJ41" t="n">
        <v>5</v>
      </c>
      <c r="AK41" t="n">
        <v>5</v>
      </c>
      <c r="AL41" t="n">
        <v>0</v>
      </c>
      <c r="AM41" t="n">
        <v>0</v>
      </c>
      <c r="AN41" t="n">
        <v>0</v>
      </c>
      <c r="AO41" t="n">
        <v>0</v>
      </c>
      <c r="AP41" t="inlineStr">
        <is>
          <t>No</t>
        </is>
      </c>
      <c r="AQ41" t="inlineStr">
        <is>
          <t>Yes</t>
        </is>
      </c>
      <c r="AR41">
        <f>HYPERLINK("http://catalog.hathitrust.org/Record/006198715","HathiTrust Record")</f>
        <v/>
      </c>
      <c r="AS41">
        <f>HYPERLINK("https://creighton-primo.hosted.exlibrisgroup.com/primo-explore/search?tab=default_tab&amp;search_scope=EVERYTHING&amp;vid=01CRU&amp;lang=en_US&amp;offset=0&amp;query=any,contains,991004117419702656","Catalog Record")</f>
        <v/>
      </c>
      <c r="AT41">
        <f>HYPERLINK("http://www.worldcat.org/oclc/2418976","WorldCat Record")</f>
        <v/>
      </c>
      <c r="AU41" t="inlineStr">
        <is>
          <t>4994551:eng</t>
        </is>
      </c>
      <c r="AV41" t="inlineStr">
        <is>
          <t>2418976</t>
        </is>
      </c>
      <c r="AW41" t="inlineStr">
        <is>
          <t>991004117419702656</t>
        </is>
      </c>
      <c r="AX41" t="inlineStr">
        <is>
          <t>991004117419702656</t>
        </is>
      </c>
      <c r="AY41" t="inlineStr">
        <is>
          <t>2268803400002656</t>
        </is>
      </c>
      <c r="AZ41" t="inlineStr">
        <is>
          <t>BOOK</t>
        </is>
      </c>
      <c r="BC41" t="inlineStr">
        <is>
          <t>32285003249538</t>
        </is>
      </c>
      <c r="BD41" t="inlineStr">
        <is>
          <t>893706015</t>
        </is>
      </c>
    </row>
    <row r="42">
      <c r="A42" t="inlineStr">
        <is>
          <t>No</t>
        </is>
      </c>
      <c r="B42" t="inlineStr">
        <is>
          <t>PF3129.E5 B67 2007</t>
        </is>
      </c>
      <c r="C42" t="inlineStr">
        <is>
          <t>0                      PF 3129000E  5                  B  67          2007</t>
        </is>
      </c>
      <c r="D42" t="inlineStr">
        <is>
          <t>German through film / Adriana Borra, Ruth Mader-Koltay.</t>
        </is>
      </c>
      <c r="F42" t="inlineStr">
        <is>
          <t>No</t>
        </is>
      </c>
      <c r="G42" t="inlineStr">
        <is>
          <t>1</t>
        </is>
      </c>
      <c r="H42" t="inlineStr">
        <is>
          <t>No</t>
        </is>
      </c>
      <c r="I42" t="inlineStr">
        <is>
          <t>No</t>
        </is>
      </c>
      <c r="J42" t="inlineStr">
        <is>
          <t>0</t>
        </is>
      </c>
      <c r="K42" t="inlineStr">
        <is>
          <t>Borra, Adriana, 1970-</t>
        </is>
      </c>
      <c r="L42" t="inlineStr">
        <is>
          <t>New Haven : Yale University Press, c2007.</t>
        </is>
      </c>
      <c r="M42" t="inlineStr">
        <is>
          <t>2007</t>
        </is>
      </c>
      <c r="O42" t="inlineStr">
        <is>
          <t>ger</t>
        </is>
      </c>
      <c r="P42" t="inlineStr">
        <is>
          <t>ctu</t>
        </is>
      </c>
      <c r="R42" t="inlineStr">
        <is>
          <t xml:space="preserve">PF </t>
        </is>
      </c>
      <c r="S42" t="n">
        <v>1</v>
      </c>
      <c r="T42" t="n">
        <v>1</v>
      </c>
      <c r="U42" t="inlineStr">
        <is>
          <t>2008-03-31</t>
        </is>
      </c>
      <c r="V42" t="inlineStr">
        <is>
          <t>2008-03-31</t>
        </is>
      </c>
      <c r="W42" t="inlineStr">
        <is>
          <t>2008-03-31</t>
        </is>
      </c>
      <c r="X42" t="inlineStr">
        <is>
          <t>2008-03-31</t>
        </is>
      </c>
      <c r="Y42" t="n">
        <v>156</v>
      </c>
      <c r="Z42" t="n">
        <v>116</v>
      </c>
      <c r="AA42" t="n">
        <v>119</v>
      </c>
      <c r="AB42" t="n">
        <v>2</v>
      </c>
      <c r="AC42" t="n">
        <v>2</v>
      </c>
      <c r="AD42" t="n">
        <v>3</v>
      </c>
      <c r="AE42" t="n">
        <v>3</v>
      </c>
      <c r="AF42" t="n">
        <v>0</v>
      </c>
      <c r="AG42" t="n">
        <v>0</v>
      </c>
      <c r="AH42" t="n">
        <v>1</v>
      </c>
      <c r="AI42" t="n">
        <v>1</v>
      </c>
      <c r="AJ42" t="n">
        <v>2</v>
      </c>
      <c r="AK42" t="n">
        <v>2</v>
      </c>
      <c r="AL42" t="n">
        <v>1</v>
      </c>
      <c r="AM42" t="n">
        <v>1</v>
      </c>
      <c r="AN42" t="n">
        <v>0</v>
      </c>
      <c r="AO42" t="n">
        <v>0</v>
      </c>
      <c r="AP42" t="inlineStr">
        <is>
          <t>No</t>
        </is>
      </c>
      <c r="AQ42" t="inlineStr">
        <is>
          <t>Yes</t>
        </is>
      </c>
      <c r="AR42">
        <f>HYPERLINK("http://catalog.hathitrust.org/Record/005540500","HathiTrust Record")</f>
        <v/>
      </c>
      <c r="AS42">
        <f>HYPERLINK("https://creighton-primo.hosted.exlibrisgroup.com/primo-explore/search?tab=default_tab&amp;search_scope=EVERYTHING&amp;vid=01CRU&amp;lang=en_US&amp;offset=0&amp;query=any,contains,991005191759702656","Catalog Record")</f>
        <v/>
      </c>
      <c r="AT42">
        <f>HYPERLINK("http://www.worldcat.org/oclc/69680136","WorldCat Record")</f>
        <v/>
      </c>
      <c r="AU42" t="inlineStr">
        <is>
          <t>53132598:ger</t>
        </is>
      </c>
      <c r="AV42" t="inlineStr">
        <is>
          <t>69680136</t>
        </is>
      </c>
      <c r="AW42" t="inlineStr">
        <is>
          <t>991005191759702656</t>
        </is>
      </c>
      <c r="AX42" t="inlineStr">
        <is>
          <t>991005191759702656</t>
        </is>
      </c>
      <c r="AY42" t="inlineStr">
        <is>
          <t>2267689010002656</t>
        </is>
      </c>
      <c r="AZ42" t="inlineStr">
        <is>
          <t>BOOK</t>
        </is>
      </c>
      <c r="BB42" t="inlineStr">
        <is>
          <t>9780300109504</t>
        </is>
      </c>
      <c r="BC42" t="inlineStr">
        <is>
          <t>32285005399778</t>
        </is>
      </c>
      <c r="BD42" t="inlineStr">
        <is>
          <t>893600782</t>
        </is>
      </c>
    </row>
    <row r="43">
      <c r="A43" t="inlineStr">
        <is>
          <t>No</t>
        </is>
      </c>
      <c r="B43" t="inlineStr">
        <is>
          <t>PF3271 .R68 1993</t>
        </is>
      </c>
      <c r="C43" t="inlineStr">
        <is>
          <t>0                      PF 3271000R  68          1993</t>
        </is>
      </c>
      <c r="D43" t="inlineStr">
        <is>
          <t>German verbs / William Rowlinson.</t>
        </is>
      </c>
      <c r="F43" t="inlineStr">
        <is>
          <t>No</t>
        </is>
      </c>
      <c r="G43" t="inlineStr">
        <is>
          <t>1</t>
        </is>
      </c>
      <c r="H43" t="inlineStr">
        <is>
          <t>No</t>
        </is>
      </c>
      <c r="I43" t="inlineStr">
        <is>
          <t>No</t>
        </is>
      </c>
      <c r="J43" t="inlineStr">
        <is>
          <t>0</t>
        </is>
      </c>
      <c r="K43" t="inlineStr">
        <is>
          <t>Rowlinson, W.</t>
        </is>
      </c>
      <c r="L43" t="inlineStr">
        <is>
          <t>Oxford ; New York : Oxford University Press, 1993.</t>
        </is>
      </c>
      <c r="M43" t="inlineStr">
        <is>
          <t>1993</t>
        </is>
      </c>
      <c r="O43" t="inlineStr">
        <is>
          <t>eng</t>
        </is>
      </c>
      <c r="P43" t="inlineStr">
        <is>
          <t>nyu</t>
        </is>
      </c>
      <c r="Q43" t="inlineStr">
        <is>
          <t>Oxford minireference</t>
        </is>
      </c>
      <c r="R43" t="inlineStr">
        <is>
          <t xml:space="preserve">PF </t>
        </is>
      </c>
      <c r="S43" t="n">
        <v>6</v>
      </c>
      <c r="T43" t="n">
        <v>6</v>
      </c>
      <c r="U43" t="inlineStr">
        <is>
          <t>2006-04-23</t>
        </is>
      </c>
      <c r="V43" t="inlineStr">
        <is>
          <t>2006-04-23</t>
        </is>
      </c>
      <c r="W43" t="inlineStr">
        <is>
          <t>1995-07-21</t>
        </is>
      </c>
      <c r="X43" t="inlineStr">
        <is>
          <t>1995-07-21</t>
        </is>
      </c>
      <c r="Y43" t="n">
        <v>44</v>
      </c>
      <c r="Z43" t="n">
        <v>21</v>
      </c>
      <c r="AA43" t="n">
        <v>46</v>
      </c>
      <c r="AB43" t="n">
        <v>1</v>
      </c>
      <c r="AC43" t="n">
        <v>1</v>
      </c>
      <c r="AD43" t="n">
        <v>0</v>
      </c>
      <c r="AE43" t="n">
        <v>1</v>
      </c>
      <c r="AF43" t="n">
        <v>0</v>
      </c>
      <c r="AG43" t="n">
        <v>0</v>
      </c>
      <c r="AH43" t="n">
        <v>0</v>
      </c>
      <c r="AI43" t="n">
        <v>1</v>
      </c>
      <c r="AJ43" t="n">
        <v>0</v>
      </c>
      <c r="AK43" t="n">
        <v>0</v>
      </c>
      <c r="AL43" t="n">
        <v>0</v>
      </c>
      <c r="AM43" t="n">
        <v>0</v>
      </c>
      <c r="AN43" t="n">
        <v>0</v>
      </c>
      <c r="AO43" t="n">
        <v>0</v>
      </c>
      <c r="AP43" t="inlineStr">
        <is>
          <t>No</t>
        </is>
      </c>
      <c r="AQ43" t="inlineStr">
        <is>
          <t>No</t>
        </is>
      </c>
      <c r="AS43">
        <f>HYPERLINK("https://creighton-primo.hosted.exlibrisgroup.com/primo-explore/search?tab=default_tab&amp;search_scope=EVERYTHING&amp;vid=01CRU&amp;lang=en_US&amp;offset=0&amp;query=any,contains,991002173509702656","Catalog Record")</f>
        <v/>
      </c>
      <c r="AT43">
        <f>HYPERLINK("http://www.worldcat.org/oclc/27975287","WorldCat Record")</f>
        <v/>
      </c>
      <c r="AU43" t="inlineStr">
        <is>
          <t>30455607:eng</t>
        </is>
      </c>
      <c r="AV43" t="inlineStr">
        <is>
          <t>27975287</t>
        </is>
      </c>
      <c r="AW43" t="inlineStr">
        <is>
          <t>991002173509702656</t>
        </is>
      </c>
      <c r="AX43" t="inlineStr">
        <is>
          <t>991002173509702656</t>
        </is>
      </c>
      <c r="AY43" t="inlineStr">
        <is>
          <t>2262378900002656</t>
        </is>
      </c>
      <c r="AZ43" t="inlineStr">
        <is>
          <t>BOOK</t>
        </is>
      </c>
      <c r="BB43" t="inlineStr">
        <is>
          <t>9780192116840</t>
        </is>
      </c>
      <c r="BC43" t="inlineStr">
        <is>
          <t>32285002054707</t>
        </is>
      </c>
      <c r="BD43" t="inlineStr">
        <is>
          <t>893534883</t>
        </is>
      </c>
    </row>
    <row r="44">
      <c r="A44" t="inlineStr">
        <is>
          <t>No</t>
        </is>
      </c>
      <c r="B44" t="inlineStr">
        <is>
          <t>PF3271 .S933 2006</t>
        </is>
      </c>
      <c r="C44" t="inlineStr">
        <is>
          <t>0                      PF 3271000S  933         2006</t>
        </is>
      </c>
      <c r="D44" t="inlineStr">
        <is>
          <t>Webster's new world 575+ German verbs / by Edward Swick.</t>
        </is>
      </c>
      <c r="F44" t="inlineStr">
        <is>
          <t>No</t>
        </is>
      </c>
      <c r="G44" t="inlineStr">
        <is>
          <t>1</t>
        </is>
      </c>
      <c r="H44" t="inlineStr">
        <is>
          <t>No</t>
        </is>
      </c>
      <c r="I44" t="inlineStr">
        <is>
          <t>No</t>
        </is>
      </c>
      <c r="J44" t="inlineStr">
        <is>
          <t>0</t>
        </is>
      </c>
      <c r="K44" t="inlineStr">
        <is>
          <t>Swick, Edward.</t>
        </is>
      </c>
      <c r="L44" t="inlineStr">
        <is>
          <t>Hoboken, NJ : Wiley Pub., c2006.</t>
        </is>
      </c>
      <c r="M44" t="inlineStr">
        <is>
          <t>2006</t>
        </is>
      </c>
      <c r="O44" t="inlineStr">
        <is>
          <t>eng</t>
        </is>
      </c>
      <c r="P44" t="inlineStr">
        <is>
          <t>nju</t>
        </is>
      </c>
      <c r="R44" t="inlineStr">
        <is>
          <t xml:space="preserve">PF </t>
        </is>
      </c>
      <c r="S44" t="n">
        <v>2</v>
      </c>
      <c r="T44" t="n">
        <v>2</v>
      </c>
      <c r="U44" t="inlineStr">
        <is>
          <t>2006-03-13</t>
        </is>
      </c>
      <c r="V44" t="inlineStr">
        <is>
          <t>2006-03-13</t>
        </is>
      </c>
      <c r="W44" t="inlineStr">
        <is>
          <t>2006-02-17</t>
        </is>
      </c>
      <c r="X44" t="inlineStr">
        <is>
          <t>2006-02-17</t>
        </is>
      </c>
      <c r="Y44" t="n">
        <v>138</v>
      </c>
      <c r="Z44" t="n">
        <v>124</v>
      </c>
      <c r="AA44" t="n">
        <v>157</v>
      </c>
      <c r="AB44" t="n">
        <v>1</v>
      </c>
      <c r="AC44" t="n">
        <v>1</v>
      </c>
      <c r="AD44" t="n">
        <v>4</v>
      </c>
      <c r="AE44" t="n">
        <v>5</v>
      </c>
      <c r="AF44" t="n">
        <v>1</v>
      </c>
      <c r="AG44" t="n">
        <v>2</v>
      </c>
      <c r="AH44" t="n">
        <v>2</v>
      </c>
      <c r="AI44" t="n">
        <v>2</v>
      </c>
      <c r="AJ44" t="n">
        <v>2</v>
      </c>
      <c r="AK44" t="n">
        <v>3</v>
      </c>
      <c r="AL44" t="n">
        <v>0</v>
      </c>
      <c r="AM44" t="n">
        <v>0</v>
      </c>
      <c r="AN44" t="n">
        <v>0</v>
      </c>
      <c r="AO44" t="n">
        <v>0</v>
      </c>
      <c r="AP44" t="inlineStr">
        <is>
          <t>No</t>
        </is>
      </c>
      <c r="AQ44" t="inlineStr">
        <is>
          <t>No</t>
        </is>
      </c>
      <c r="AS44">
        <f>HYPERLINK("https://creighton-primo.hosted.exlibrisgroup.com/primo-explore/search?tab=default_tab&amp;search_scope=EVERYTHING&amp;vid=01CRU&amp;lang=en_US&amp;offset=0&amp;query=any,contains,991004746849702656","Catalog Record")</f>
        <v/>
      </c>
      <c r="AT44">
        <f>HYPERLINK("http://www.worldcat.org/oclc/62161271","WorldCat Record")</f>
        <v/>
      </c>
      <c r="AU44" t="inlineStr">
        <is>
          <t>46569586:eng</t>
        </is>
      </c>
      <c r="AV44" t="inlineStr">
        <is>
          <t>62161271</t>
        </is>
      </c>
      <c r="AW44" t="inlineStr">
        <is>
          <t>991004746849702656</t>
        </is>
      </c>
      <c r="AX44" t="inlineStr">
        <is>
          <t>991004746849702656</t>
        </is>
      </c>
      <c r="AY44" t="inlineStr">
        <is>
          <t>2270675390002656</t>
        </is>
      </c>
      <c r="AZ44" t="inlineStr">
        <is>
          <t>BOOK</t>
        </is>
      </c>
      <c r="BB44" t="inlineStr">
        <is>
          <t>9780764599156</t>
        </is>
      </c>
      <c r="BC44" t="inlineStr">
        <is>
          <t>32285005164701</t>
        </is>
      </c>
      <c r="BD44" t="inlineStr">
        <is>
          <t>893619047</t>
        </is>
      </c>
    </row>
    <row r="45">
      <c r="A45" t="inlineStr">
        <is>
          <t>No</t>
        </is>
      </c>
      <c r="B45" t="inlineStr">
        <is>
          <t>PF3410 .B38 2006</t>
        </is>
      </c>
      <c r="C45" t="inlineStr">
        <is>
          <t>0                      PF 3410000B  38          2006</t>
        </is>
      </c>
      <c r="D45" t="inlineStr">
        <is>
          <t>Developing writing skills in German / academic editors, Uwe Baumann and Annette Duensing.</t>
        </is>
      </c>
      <c r="F45" t="inlineStr">
        <is>
          <t>No</t>
        </is>
      </c>
      <c r="G45" t="inlineStr">
        <is>
          <t>1</t>
        </is>
      </c>
      <c r="H45" t="inlineStr">
        <is>
          <t>No</t>
        </is>
      </c>
      <c r="I45" t="inlineStr">
        <is>
          <t>No</t>
        </is>
      </c>
      <c r="J45" t="inlineStr">
        <is>
          <t>0</t>
        </is>
      </c>
      <c r="K45" t="inlineStr">
        <is>
          <t>Baumann, Uwe.</t>
        </is>
      </c>
      <c r="L45" t="inlineStr">
        <is>
          <t>London ; New York : Routledge in association with the Open University, 2006.</t>
        </is>
      </c>
      <c r="M45" t="inlineStr">
        <is>
          <t>2006</t>
        </is>
      </c>
      <c r="O45" t="inlineStr">
        <is>
          <t>eng</t>
        </is>
      </c>
      <c r="P45" t="inlineStr">
        <is>
          <t>enk</t>
        </is>
      </c>
      <c r="Q45" t="inlineStr">
        <is>
          <t>Developing writing skills</t>
        </is>
      </c>
      <c r="R45" t="inlineStr">
        <is>
          <t xml:space="preserve">PF </t>
        </is>
      </c>
      <c r="S45" t="n">
        <v>1</v>
      </c>
      <c r="T45" t="n">
        <v>1</v>
      </c>
      <c r="U45" t="inlineStr">
        <is>
          <t>2010-05-13</t>
        </is>
      </c>
      <c r="V45" t="inlineStr">
        <is>
          <t>2010-05-13</t>
        </is>
      </c>
      <c r="W45" t="inlineStr">
        <is>
          <t>2010-05-13</t>
        </is>
      </c>
      <c r="X45" t="inlineStr">
        <is>
          <t>2010-05-13</t>
        </is>
      </c>
      <c r="Y45" t="n">
        <v>103</v>
      </c>
      <c r="Z45" t="n">
        <v>46</v>
      </c>
      <c r="AA45" t="n">
        <v>70</v>
      </c>
      <c r="AB45" t="n">
        <v>1</v>
      </c>
      <c r="AC45" t="n">
        <v>1</v>
      </c>
      <c r="AD45" t="n">
        <v>0</v>
      </c>
      <c r="AE45" t="n">
        <v>0</v>
      </c>
      <c r="AF45" t="n">
        <v>0</v>
      </c>
      <c r="AG45" t="n">
        <v>0</v>
      </c>
      <c r="AH45" t="n">
        <v>0</v>
      </c>
      <c r="AI45" t="n">
        <v>0</v>
      </c>
      <c r="AJ45" t="n">
        <v>0</v>
      </c>
      <c r="AK45" t="n">
        <v>0</v>
      </c>
      <c r="AL45" t="n">
        <v>0</v>
      </c>
      <c r="AM45" t="n">
        <v>0</v>
      </c>
      <c r="AN45" t="n">
        <v>0</v>
      </c>
      <c r="AO45" t="n">
        <v>0</v>
      </c>
      <c r="AP45" t="inlineStr">
        <is>
          <t>No</t>
        </is>
      </c>
      <c r="AQ45" t="inlineStr">
        <is>
          <t>No</t>
        </is>
      </c>
      <c r="AS45">
        <f>HYPERLINK("https://creighton-primo.hosted.exlibrisgroup.com/primo-explore/search?tab=default_tab&amp;search_scope=EVERYTHING&amp;vid=01CRU&amp;lang=en_US&amp;offset=0&amp;query=any,contains,991005393039702656","Catalog Record")</f>
        <v/>
      </c>
      <c r="AT45">
        <f>HYPERLINK("http://www.worldcat.org/oclc/62152818","WorldCat Record")</f>
        <v/>
      </c>
      <c r="AU45" t="inlineStr">
        <is>
          <t>1051909393:eng</t>
        </is>
      </c>
      <c r="AV45" t="inlineStr">
        <is>
          <t>62152818</t>
        </is>
      </c>
      <c r="AW45" t="inlineStr">
        <is>
          <t>991005393039702656</t>
        </is>
      </c>
      <c r="AX45" t="inlineStr">
        <is>
          <t>991005393039702656</t>
        </is>
      </c>
      <c r="AY45" t="inlineStr">
        <is>
          <t>2271071240002656</t>
        </is>
      </c>
      <c r="AZ45" t="inlineStr">
        <is>
          <t>BOOK</t>
        </is>
      </c>
      <c r="BB45" t="inlineStr">
        <is>
          <t>9780203088821</t>
        </is>
      </c>
      <c r="BC45" t="inlineStr">
        <is>
          <t>32285005582860</t>
        </is>
      </c>
      <c r="BD45" t="inlineStr">
        <is>
          <t>893808397</t>
        </is>
      </c>
    </row>
    <row r="46">
      <c r="A46" t="inlineStr">
        <is>
          <t>No</t>
        </is>
      </c>
      <c r="B46" t="inlineStr">
        <is>
          <t>PF3450 .B4 1982</t>
        </is>
      </c>
      <c r="C46" t="inlineStr">
        <is>
          <t>0                      PF 3450000B  4           1982</t>
        </is>
      </c>
      <c r="D46" t="inlineStr">
        <is>
          <t>Komma, Punkt und alle anderen Satzzeichen : Mit ausführlicher Beispielsammlung / Von Dieter Berger.</t>
        </is>
      </c>
      <c r="F46" t="inlineStr">
        <is>
          <t>No</t>
        </is>
      </c>
      <c r="G46" t="inlineStr">
        <is>
          <t>1</t>
        </is>
      </c>
      <c r="H46" t="inlineStr">
        <is>
          <t>No</t>
        </is>
      </c>
      <c r="I46" t="inlineStr">
        <is>
          <t>No</t>
        </is>
      </c>
      <c r="J46" t="inlineStr">
        <is>
          <t>0</t>
        </is>
      </c>
      <c r="K46" t="inlineStr">
        <is>
          <t>Berger, Dieter.</t>
        </is>
      </c>
      <c r="L46" t="inlineStr">
        <is>
          <t>Mannheim : Bibliographisches Institut, 1982.</t>
        </is>
      </c>
      <c r="M46" t="inlineStr">
        <is>
          <t>1982</t>
        </is>
      </c>
      <c r="N46" t="inlineStr">
        <is>
          <t>2., neu bearb. u. erw. Aufl.</t>
        </is>
      </c>
      <c r="O46" t="inlineStr">
        <is>
          <t>ger</t>
        </is>
      </c>
      <c r="P46" t="inlineStr">
        <is>
          <t xml:space="preserve">gw </t>
        </is>
      </c>
      <c r="Q46" t="inlineStr">
        <is>
          <t>Duden-Taschenbücher ; Bd. 1</t>
        </is>
      </c>
      <c r="R46" t="inlineStr">
        <is>
          <t xml:space="preserve">PF </t>
        </is>
      </c>
      <c r="S46" t="n">
        <v>1</v>
      </c>
      <c r="T46" t="n">
        <v>1</v>
      </c>
      <c r="U46" t="inlineStr">
        <is>
          <t>2010-08-01</t>
        </is>
      </c>
      <c r="V46" t="inlineStr">
        <is>
          <t>2010-08-01</t>
        </is>
      </c>
      <c r="W46" t="inlineStr">
        <is>
          <t>1993-04-27</t>
        </is>
      </c>
      <c r="X46" t="inlineStr">
        <is>
          <t>1993-04-27</t>
        </is>
      </c>
      <c r="Y46" t="n">
        <v>45</v>
      </c>
      <c r="Z46" t="n">
        <v>29</v>
      </c>
      <c r="AA46" t="n">
        <v>31</v>
      </c>
      <c r="AB46" t="n">
        <v>1</v>
      </c>
      <c r="AC46" t="n">
        <v>1</v>
      </c>
      <c r="AD46" t="n">
        <v>0</v>
      </c>
      <c r="AE46" t="n">
        <v>0</v>
      </c>
      <c r="AF46" t="n">
        <v>0</v>
      </c>
      <c r="AG46" t="n">
        <v>0</v>
      </c>
      <c r="AH46" t="n">
        <v>0</v>
      </c>
      <c r="AI46" t="n">
        <v>0</v>
      </c>
      <c r="AJ46" t="n">
        <v>0</v>
      </c>
      <c r="AK46" t="n">
        <v>0</v>
      </c>
      <c r="AL46" t="n">
        <v>0</v>
      </c>
      <c r="AM46" t="n">
        <v>0</v>
      </c>
      <c r="AN46" t="n">
        <v>0</v>
      </c>
      <c r="AO46" t="n">
        <v>0</v>
      </c>
      <c r="AP46" t="inlineStr">
        <is>
          <t>No</t>
        </is>
      </c>
      <c r="AQ46" t="inlineStr">
        <is>
          <t>Yes</t>
        </is>
      </c>
      <c r="AR46">
        <f>HYPERLINK("http://catalog.hathitrust.org/Record/102079959","HathiTrust Record")</f>
        <v/>
      </c>
      <c r="AS46">
        <f>HYPERLINK("https://creighton-primo.hosted.exlibrisgroup.com/primo-explore/search?tab=default_tab&amp;search_scope=EVERYTHING&amp;vid=01CRU&amp;lang=en_US&amp;offset=0&amp;query=any,contains,991000278779702656","Catalog Record")</f>
        <v/>
      </c>
      <c r="AT46">
        <f>HYPERLINK("http://www.worldcat.org/oclc/9906324","WorldCat Record")</f>
        <v/>
      </c>
      <c r="AU46" t="inlineStr">
        <is>
          <t>4451805995:ger</t>
        </is>
      </c>
      <c r="AV46" t="inlineStr">
        <is>
          <t>9906324</t>
        </is>
      </c>
      <c r="AW46" t="inlineStr">
        <is>
          <t>991000278779702656</t>
        </is>
      </c>
      <c r="AX46" t="inlineStr">
        <is>
          <t>991000278779702656</t>
        </is>
      </c>
      <c r="AY46" t="inlineStr">
        <is>
          <t>2266447840002656</t>
        </is>
      </c>
      <c r="AZ46" t="inlineStr">
        <is>
          <t>BOOK</t>
        </is>
      </c>
      <c r="BB46" t="inlineStr">
        <is>
          <t>9783411019571</t>
        </is>
      </c>
      <c r="BC46" t="inlineStr">
        <is>
          <t>32285001648301</t>
        </is>
      </c>
      <c r="BD46" t="inlineStr">
        <is>
          <t>893521553</t>
        </is>
      </c>
    </row>
    <row r="47">
      <c r="A47" t="inlineStr">
        <is>
          <t>No</t>
        </is>
      </c>
      <c r="B47" t="inlineStr">
        <is>
          <t>PF3460 .S85</t>
        </is>
      </c>
      <c r="C47" t="inlineStr">
        <is>
          <t>0                      PF 3460000S  85</t>
        </is>
      </c>
      <c r="D47" t="inlineStr">
        <is>
          <t>1001 pitfalls in German / by Henry Strutz.</t>
        </is>
      </c>
      <c r="F47" t="inlineStr">
        <is>
          <t>No</t>
        </is>
      </c>
      <c r="G47" t="inlineStr">
        <is>
          <t>1</t>
        </is>
      </c>
      <c r="H47" t="inlineStr">
        <is>
          <t>No</t>
        </is>
      </c>
      <c r="I47" t="inlineStr">
        <is>
          <t>No</t>
        </is>
      </c>
      <c r="J47" t="inlineStr">
        <is>
          <t>0</t>
        </is>
      </c>
      <c r="K47" t="inlineStr">
        <is>
          <t>Strutz, Henry, 1932-2018.</t>
        </is>
      </c>
      <c r="L47" t="inlineStr">
        <is>
          <t>Woodbury, N.Y. : Barron's Educational Series, c1981.</t>
        </is>
      </c>
      <c r="M47" t="inlineStr">
        <is>
          <t>1980</t>
        </is>
      </c>
      <c r="O47" t="inlineStr">
        <is>
          <t>eng</t>
        </is>
      </c>
      <c r="P47" t="inlineStr">
        <is>
          <t>nyu</t>
        </is>
      </c>
      <c r="R47" t="inlineStr">
        <is>
          <t xml:space="preserve">PF </t>
        </is>
      </c>
      <c r="S47" t="n">
        <v>8</v>
      </c>
      <c r="T47" t="n">
        <v>8</v>
      </c>
      <c r="U47" t="inlineStr">
        <is>
          <t>1995-12-14</t>
        </is>
      </c>
      <c r="V47" t="inlineStr">
        <is>
          <t>1995-12-14</t>
        </is>
      </c>
      <c r="W47" t="inlineStr">
        <is>
          <t>1993-04-27</t>
        </is>
      </c>
      <c r="X47" t="inlineStr">
        <is>
          <t>1993-04-27</t>
        </is>
      </c>
      <c r="Y47" t="n">
        <v>90</v>
      </c>
      <c r="Z47" t="n">
        <v>84</v>
      </c>
      <c r="AA47" t="n">
        <v>89</v>
      </c>
      <c r="AB47" t="n">
        <v>1</v>
      </c>
      <c r="AC47" t="n">
        <v>1</v>
      </c>
      <c r="AD47" t="n">
        <v>1</v>
      </c>
      <c r="AE47" t="n">
        <v>1</v>
      </c>
      <c r="AF47" t="n">
        <v>1</v>
      </c>
      <c r="AG47" t="n">
        <v>1</v>
      </c>
      <c r="AH47" t="n">
        <v>0</v>
      </c>
      <c r="AI47" t="n">
        <v>0</v>
      </c>
      <c r="AJ47" t="n">
        <v>0</v>
      </c>
      <c r="AK47" t="n">
        <v>0</v>
      </c>
      <c r="AL47" t="n">
        <v>0</v>
      </c>
      <c r="AM47" t="n">
        <v>0</v>
      </c>
      <c r="AN47" t="n">
        <v>0</v>
      </c>
      <c r="AO47" t="n">
        <v>0</v>
      </c>
      <c r="AP47" t="inlineStr">
        <is>
          <t>No</t>
        </is>
      </c>
      <c r="AQ47" t="inlineStr">
        <is>
          <t>No</t>
        </is>
      </c>
      <c r="AS47">
        <f>HYPERLINK("https://creighton-primo.hosted.exlibrisgroup.com/primo-explore/search?tab=default_tab&amp;search_scope=EVERYTHING&amp;vid=01CRU&amp;lang=en_US&amp;offset=0&amp;query=any,contains,991004944079702656","Catalog Record")</f>
        <v/>
      </c>
      <c r="AT47">
        <f>HYPERLINK("http://www.worldcat.org/oclc/6196892","WorldCat Record")</f>
        <v/>
      </c>
      <c r="AU47" t="inlineStr">
        <is>
          <t>21804060:eng</t>
        </is>
      </c>
      <c r="AV47" t="inlineStr">
        <is>
          <t>6196892</t>
        </is>
      </c>
      <c r="AW47" t="inlineStr">
        <is>
          <t>991004944079702656</t>
        </is>
      </c>
      <c r="AX47" t="inlineStr">
        <is>
          <t>991004944079702656</t>
        </is>
      </c>
      <c r="AY47" t="inlineStr">
        <is>
          <t>2266424530002656</t>
        </is>
      </c>
      <c r="AZ47" t="inlineStr">
        <is>
          <t>BOOK</t>
        </is>
      </c>
      <c r="BB47" t="inlineStr">
        <is>
          <t>9780812005905</t>
        </is>
      </c>
      <c r="BC47" t="inlineStr">
        <is>
          <t>32285001648335</t>
        </is>
      </c>
      <c r="BD47" t="inlineStr">
        <is>
          <t>893248138</t>
        </is>
      </c>
    </row>
    <row r="48">
      <c r="A48" t="inlineStr">
        <is>
          <t>No</t>
        </is>
      </c>
      <c r="B48" t="inlineStr">
        <is>
          <t>PF3479.T4 P66 1986</t>
        </is>
      </c>
      <c r="C48" t="inlineStr">
        <is>
          <t>0                      PF 3479000T  4                  P  66          1986</t>
        </is>
      </c>
      <c r="D48" t="inlineStr">
        <is>
          <t>Deutsche Naturwissenschaftssprachen : historische und kritische Studien / Uwe Pörksen.</t>
        </is>
      </c>
      <c r="F48" t="inlineStr">
        <is>
          <t>No</t>
        </is>
      </c>
      <c r="G48" t="inlineStr">
        <is>
          <t>1</t>
        </is>
      </c>
      <c r="H48" t="inlineStr">
        <is>
          <t>No</t>
        </is>
      </c>
      <c r="I48" t="inlineStr">
        <is>
          <t>No</t>
        </is>
      </c>
      <c r="J48" t="inlineStr">
        <is>
          <t>0</t>
        </is>
      </c>
      <c r="K48" t="inlineStr">
        <is>
          <t>Pörksen, Uwe.</t>
        </is>
      </c>
      <c r="L48" t="inlineStr">
        <is>
          <t>Tübingen : Narr, c1986.</t>
        </is>
      </c>
      <c r="M48" t="inlineStr">
        <is>
          <t>1986</t>
        </is>
      </c>
      <c r="O48" t="inlineStr">
        <is>
          <t>ger</t>
        </is>
      </c>
      <c r="P48" t="inlineStr">
        <is>
          <t xml:space="preserve">gw </t>
        </is>
      </c>
      <c r="Q48" t="inlineStr">
        <is>
          <t>Forum für Fachsprachen-Forschung ; Bd. 2</t>
        </is>
      </c>
      <c r="R48" t="inlineStr">
        <is>
          <t xml:space="preserve">PF </t>
        </is>
      </c>
      <c r="S48" t="n">
        <v>1</v>
      </c>
      <c r="T48" t="n">
        <v>1</v>
      </c>
      <c r="U48" t="inlineStr">
        <is>
          <t>2010-08-01</t>
        </is>
      </c>
      <c r="V48" t="inlineStr">
        <is>
          <t>2010-08-01</t>
        </is>
      </c>
      <c r="W48" t="inlineStr">
        <is>
          <t>1993-04-27</t>
        </is>
      </c>
      <c r="X48" t="inlineStr">
        <is>
          <t>1993-04-27</t>
        </is>
      </c>
      <c r="Y48" t="n">
        <v>81</v>
      </c>
      <c r="Z48" t="n">
        <v>42</v>
      </c>
      <c r="AA48" t="n">
        <v>42</v>
      </c>
      <c r="AB48" t="n">
        <v>1</v>
      </c>
      <c r="AC48" t="n">
        <v>1</v>
      </c>
      <c r="AD48" t="n">
        <v>1</v>
      </c>
      <c r="AE48" t="n">
        <v>1</v>
      </c>
      <c r="AF48" t="n">
        <v>0</v>
      </c>
      <c r="AG48" t="n">
        <v>0</v>
      </c>
      <c r="AH48" t="n">
        <v>1</v>
      </c>
      <c r="AI48" t="n">
        <v>1</v>
      </c>
      <c r="AJ48" t="n">
        <v>1</v>
      </c>
      <c r="AK48" t="n">
        <v>1</v>
      </c>
      <c r="AL48" t="n">
        <v>0</v>
      </c>
      <c r="AM48" t="n">
        <v>0</v>
      </c>
      <c r="AN48" t="n">
        <v>0</v>
      </c>
      <c r="AO48" t="n">
        <v>0</v>
      </c>
      <c r="AP48" t="inlineStr">
        <is>
          <t>No</t>
        </is>
      </c>
      <c r="AQ48" t="inlineStr">
        <is>
          <t>No</t>
        </is>
      </c>
      <c r="AS48">
        <f>HYPERLINK("https://creighton-primo.hosted.exlibrisgroup.com/primo-explore/search?tab=default_tab&amp;search_scope=EVERYTHING&amp;vid=01CRU&amp;lang=en_US&amp;offset=0&amp;query=any,contains,991000948679702656","Catalog Record")</f>
        <v/>
      </c>
      <c r="AT48">
        <f>HYPERLINK("http://www.worldcat.org/oclc/14590025","WorldCat Record")</f>
        <v/>
      </c>
      <c r="AU48" t="inlineStr">
        <is>
          <t>291899175:ger</t>
        </is>
      </c>
      <c r="AV48" t="inlineStr">
        <is>
          <t>14590025</t>
        </is>
      </c>
      <c r="AW48" t="inlineStr">
        <is>
          <t>991000948679702656</t>
        </is>
      </c>
      <c r="AX48" t="inlineStr">
        <is>
          <t>991000948679702656</t>
        </is>
      </c>
      <c r="AY48" t="inlineStr">
        <is>
          <t>2257633110002656</t>
        </is>
      </c>
      <c r="AZ48" t="inlineStr">
        <is>
          <t>BOOK</t>
        </is>
      </c>
      <c r="BB48" t="inlineStr">
        <is>
          <t>9783878084990</t>
        </is>
      </c>
      <c r="BC48" t="inlineStr">
        <is>
          <t>32285001648343</t>
        </is>
      </c>
      <c r="BD48" t="inlineStr">
        <is>
          <t>893243740</t>
        </is>
      </c>
    </row>
    <row r="49">
      <c r="A49" t="inlineStr">
        <is>
          <t>No</t>
        </is>
      </c>
      <c r="B49" t="inlineStr">
        <is>
          <t>PF3483 .F74 1977</t>
        </is>
      </c>
      <c r="C49" t="inlineStr">
        <is>
          <t>0                      PF 3483000F  74          1977</t>
        </is>
      </c>
      <c r="D49" t="inlineStr">
        <is>
          <t>So schreibt man Briefe besser! / Von Waltraud Freiberger und Brigitte-Barbara Gschwind.</t>
        </is>
      </c>
      <c r="F49" t="inlineStr">
        <is>
          <t>No</t>
        </is>
      </c>
      <c r="G49" t="inlineStr">
        <is>
          <t>1</t>
        </is>
      </c>
      <c r="H49" t="inlineStr">
        <is>
          <t>No</t>
        </is>
      </c>
      <c r="I49" t="inlineStr">
        <is>
          <t>No</t>
        </is>
      </c>
      <c r="J49" t="inlineStr">
        <is>
          <t>0</t>
        </is>
      </c>
      <c r="K49" t="inlineStr">
        <is>
          <t>Freiberger, Waltraud.</t>
        </is>
      </c>
      <c r="L49" t="inlineStr">
        <is>
          <t>München : Humboldt, 1977.</t>
        </is>
      </c>
      <c r="M49" t="inlineStr">
        <is>
          <t>1977</t>
        </is>
      </c>
      <c r="O49" t="inlineStr">
        <is>
          <t>ger</t>
        </is>
      </c>
      <c r="P49" t="inlineStr">
        <is>
          <t xml:space="preserve">gw </t>
        </is>
      </c>
      <c r="Q49" t="inlineStr">
        <is>
          <t>humboldt-taschenbuch ; 301</t>
        </is>
      </c>
      <c r="R49" t="inlineStr">
        <is>
          <t xml:space="preserve">PF </t>
        </is>
      </c>
      <c r="S49" t="n">
        <v>3</v>
      </c>
      <c r="T49" t="n">
        <v>3</v>
      </c>
      <c r="U49" t="inlineStr">
        <is>
          <t>2010-08-01</t>
        </is>
      </c>
      <c r="V49" t="inlineStr">
        <is>
          <t>2010-08-01</t>
        </is>
      </c>
      <c r="W49" t="inlineStr">
        <is>
          <t>1995-05-08</t>
        </is>
      </c>
      <c r="X49" t="inlineStr">
        <is>
          <t>1995-05-08</t>
        </is>
      </c>
      <c r="Y49" t="n">
        <v>30</v>
      </c>
      <c r="Z49" t="n">
        <v>16</v>
      </c>
      <c r="AA49" t="n">
        <v>16</v>
      </c>
      <c r="AB49" t="n">
        <v>1</v>
      </c>
      <c r="AC49" t="n">
        <v>1</v>
      </c>
      <c r="AD49" t="n">
        <v>1</v>
      </c>
      <c r="AE49" t="n">
        <v>1</v>
      </c>
      <c r="AF49" t="n">
        <v>0</v>
      </c>
      <c r="AG49" t="n">
        <v>0</v>
      </c>
      <c r="AH49" t="n">
        <v>0</v>
      </c>
      <c r="AI49" t="n">
        <v>0</v>
      </c>
      <c r="AJ49" t="n">
        <v>1</v>
      </c>
      <c r="AK49" t="n">
        <v>1</v>
      </c>
      <c r="AL49" t="n">
        <v>0</v>
      </c>
      <c r="AM49" t="n">
        <v>0</v>
      </c>
      <c r="AN49" t="n">
        <v>0</v>
      </c>
      <c r="AO49" t="n">
        <v>0</v>
      </c>
      <c r="AP49" t="inlineStr">
        <is>
          <t>No</t>
        </is>
      </c>
      <c r="AQ49" t="inlineStr">
        <is>
          <t>No</t>
        </is>
      </c>
      <c r="AS49">
        <f>HYPERLINK("https://creighton-primo.hosted.exlibrisgroup.com/primo-explore/search?tab=default_tab&amp;search_scope=EVERYTHING&amp;vid=01CRU&amp;lang=en_US&amp;offset=0&amp;query=any,contains,991000405559702656","Catalog Record")</f>
        <v/>
      </c>
      <c r="AT49">
        <f>HYPERLINK("http://www.worldcat.org/oclc/10680776","WorldCat Record")</f>
        <v/>
      </c>
      <c r="AU49" t="inlineStr">
        <is>
          <t>10567077229:ger</t>
        </is>
      </c>
      <c r="AV49" t="inlineStr">
        <is>
          <t>10680776</t>
        </is>
      </c>
      <c r="AW49" t="inlineStr">
        <is>
          <t>991000405559702656</t>
        </is>
      </c>
      <c r="AX49" t="inlineStr">
        <is>
          <t>991000405559702656</t>
        </is>
      </c>
      <c r="AY49" t="inlineStr">
        <is>
          <t>2269506620002656</t>
        </is>
      </c>
      <c r="AZ49" t="inlineStr">
        <is>
          <t>BOOK</t>
        </is>
      </c>
      <c r="BB49" t="inlineStr">
        <is>
          <t>9783581663017</t>
        </is>
      </c>
      <c r="BC49" t="inlineStr">
        <is>
          <t>32285002038460</t>
        </is>
      </c>
      <c r="BD49" t="inlineStr">
        <is>
          <t>893255392</t>
        </is>
      </c>
    </row>
    <row r="50">
      <c r="A50" t="inlineStr">
        <is>
          <t>No</t>
        </is>
      </c>
      <c r="B50" t="inlineStr">
        <is>
          <t>PF3483 .L83 1980</t>
        </is>
      </c>
      <c r="C50" t="inlineStr">
        <is>
          <t>0                      PF 3483000L  83          1980</t>
        </is>
      </c>
      <c r="D50" t="inlineStr">
        <is>
          <t>Persönliche und geschäftliche Briefe im Privatleben / Bernd Lubbers, unter Mitarbeit von F.W. Manekeller.</t>
        </is>
      </c>
      <c r="F50" t="inlineStr">
        <is>
          <t>No</t>
        </is>
      </c>
      <c r="G50" t="inlineStr">
        <is>
          <t>1</t>
        </is>
      </c>
      <c r="H50" t="inlineStr">
        <is>
          <t>No</t>
        </is>
      </c>
      <c r="I50" t="inlineStr">
        <is>
          <t>No</t>
        </is>
      </c>
      <c r="J50" t="inlineStr">
        <is>
          <t>0</t>
        </is>
      </c>
      <c r="K50" t="inlineStr">
        <is>
          <t>Lubbers, Bernd.</t>
        </is>
      </c>
      <c r="L50" t="inlineStr">
        <is>
          <t>München : MVG, 1980, c1978.</t>
        </is>
      </c>
      <c r="M50" t="inlineStr">
        <is>
          <t>1980</t>
        </is>
      </c>
      <c r="N50" t="inlineStr">
        <is>
          <t>4. Aufl.</t>
        </is>
      </c>
      <c r="O50" t="inlineStr">
        <is>
          <t>ger</t>
        </is>
      </c>
      <c r="P50" t="inlineStr">
        <is>
          <t xml:space="preserve">gw </t>
        </is>
      </c>
      <c r="R50" t="inlineStr">
        <is>
          <t xml:space="preserve">PF </t>
        </is>
      </c>
      <c r="S50" t="n">
        <v>4</v>
      </c>
      <c r="T50" t="n">
        <v>4</v>
      </c>
      <c r="U50" t="inlineStr">
        <is>
          <t>1995-11-18</t>
        </is>
      </c>
      <c r="V50" t="inlineStr">
        <is>
          <t>1995-11-18</t>
        </is>
      </c>
      <c r="W50" t="inlineStr">
        <is>
          <t>1993-04-27</t>
        </is>
      </c>
      <c r="X50" t="inlineStr">
        <is>
          <t>1993-04-27</t>
        </is>
      </c>
      <c r="Y50" t="n">
        <v>3</v>
      </c>
      <c r="Z50" t="n">
        <v>3</v>
      </c>
      <c r="AA50" t="n">
        <v>4</v>
      </c>
      <c r="AB50" t="n">
        <v>1</v>
      </c>
      <c r="AC50" t="n">
        <v>1</v>
      </c>
      <c r="AD50" t="n">
        <v>1</v>
      </c>
      <c r="AE50" t="n">
        <v>1</v>
      </c>
      <c r="AF50" t="n">
        <v>0</v>
      </c>
      <c r="AG50" t="n">
        <v>0</v>
      </c>
      <c r="AH50" t="n">
        <v>1</v>
      </c>
      <c r="AI50" t="n">
        <v>1</v>
      </c>
      <c r="AJ50" t="n">
        <v>1</v>
      </c>
      <c r="AK50" t="n">
        <v>1</v>
      </c>
      <c r="AL50" t="n">
        <v>0</v>
      </c>
      <c r="AM50" t="n">
        <v>0</v>
      </c>
      <c r="AN50" t="n">
        <v>0</v>
      </c>
      <c r="AO50" t="n">
        <v>0</v>
      </c>
      <c r="AP50" t="inlineStr">
        <is>
          <t>No</t>
        </is>
      </c>
      <c r="AQ50" t="inlineStr">
        <is>
          <t>No</t>
        </is>
      </c>
      <c r="AS50">
        <f>HYPERLINK("https://creighton-primo.hosted.exlibrisgroup.com/primo-explore/search?tab=default_tab&amp;search_scope=EVERYTHING&amp;vid=01CRU&amp;lang=en_US&amp;offset=0&amp;query=any,contains,991000020949702656","Catalog Record")</f>
        <v/>
      </c>
      <c r="AT50">
        <f>HYPERLINK("http://www.worldcat.org/oclc/8570086","WorldCat Record")</f>
        <v/>
      </c>
      <c r="AU50" t="inlineStr">
        <is>
          <t>867681263:ger</t>
        </is>
      </c>
      <c r="AV50" t="inlineStr">
        <is>
          <t>8570086</t>
        </is>
      </c>
      <c r="AW50" t="inlineStr">
        <is>
          <t>991000020949702656</t>
        </is>
      </c>
      <c r="AX50" t="inlineStr">
        <is>
          <t>991000020949702656</t>
        </is>
      </c>
      <c r="AY50" t="inlineStr">
        <is>
          <t>2272428200002656</t>
        </is>
      </c>
      <c r="AZ50" t="inlineStr">
        <is>
          <t>BOOK</t>
        </is>
      </c>
      <c r="BB50" t="inlineStr">
        <is>
          <t>9783478051248</t>
        </is>
      </c>
      <c r="BC50" t="inlineStr">
        <is>
          <t>32285001648350</t>
        </is>
      </c>
      <c r="BD50" t="inlineStr">
        <is>
          <t>893896550</t>
        </is>
      </c>
    </row>
    <row r="51">
      <c r="A51" t="inlineStr">
        <is>
          <t>No</t>
        </is>
      </c>
      <c r="B51" t="inlineStr">
        <is>
          <t>PF3509 .G7</t>
        </is>
      </c>
      <c r="C51" t="inlineStr">
        <is>
          <t>0                      PF 3509000G  7</t>
        </is>
      </c>
      <c r="D51" t="inlineStr">
        <is>
          <t>An introduction to German poetry / by Ronald Gray.</t>
        </is>
      </c>
      <c r="F51" t="inlineStr">
        <is>
          <t>No</t>
        </is>
      </c>
      <c r="G51" t="inlineStr">
        <is>
          <t>1</t>
        </is>
      </c>
      <c r="H51" t="inlineStr">
        <is>
          <t>No</t>
        </is>
      </c>
      <c r="I51" t="inlineStr">
        <is>
          <t>No</t>
        </is>
      </c>
      <c r="J51" t="inlineStr">
        <is>
          <t>0</t>
        </is>
      </c>
      <c r="K51" t="inlineStr">
        <is>
          <t>Gray, Ronald D.</t>
        </is>
      </c>
      <c r="L51" t="inlineStr">
        <is>
          <t>Cambridge, [Eng.] : Univ. Press, 1965.</t>
        </is>
      </c>
      <c r="M51" t="inlineStr">
        <is>
          <t>1965</t>
        </is>
      </c>
      <c r="O51" t="inlineStr">
        <is>
          <t>eng</t>
        </is>
      </c>
      <c r="P51" t="inlineStr">
        <is>
          <t>enk</t>
        </is>
      </c>
      <c r="R51" t="inlineStr">
        <is>
          <t xml:space="preserve">PF </t>
        </is>
      </c>
      <c r="S51" t="n">
        <v>1</v>
      </c>
      <c r="T51" t="n">
        <v>1</v>
      </c>
      <c r="U51" t="inlineStr">
        <is>
          <t>2010-06-29</t>
        </is>
      </c>
      <c r="V51" t="inlineStr">
        <is>
          <t>2010-06-29</t>
        </is>
      </c>
      <c r="W51" t="inlineStr">
        <is>
          <t>1990-09-20</t>
        </is>
      </c>
      <c r="X51" t="inlineStr">
        <is>
          <t>1990-09-20</t>
        </is>
      </c>
      <c r="Y51" t="n">
        <v>435</v>
      </c>
      <c r="Z51" t="n">
        <v>315</v>
      </c>
      <c r="AA51" t="n">
        <v>326</v>
      </c>
      <c r="AB51" t="n">
        <v>4</v>
      </c>
      <c r="AC51" t="n">
        <v>4</v>
      </c>
      <c r="AD51" t="n">
        <v>15</v>
      </c>
      <c r="AE51" t="n">
        <v>15</v>
      </c>
      <c r="AF51" t="n">
        <v>6</v>
      </c>
      <c r="AG51" t="n">
        <v>6</v>
      </c>
      <c r="AH51" t="n">
        <v>0</v>
      </c>
      <c r="AI51" t="n">
        <v>0</v>
      </c>
      <c r="AJ51" t="n">
        <v>9</v>
      </c>
      <c r="AK51" t="n">
        <v>9</v>
      </c>
      <c r="AL51" t="n">
        <v>3</v>
      </c>
      <c r="AM51" t="n">
        <v>3</v>
      </c>
      <c r="AN51" t="n">
        <v>0</v>
      </c>
      <c r="AO51" t="n">
        <v>0</v>
      </c>
      <c r="AP51" t="inlineStr">
        <is>
          <t>No</t>
        </is>
      </c>
      <c r="AQ51" t="inlineStr">
        <is>
          <t>Yes</t>
        </is>
      </c>
      <c r="AR51">
        <f>HYPERLINK("http://catalog.hathitrust.org/Record/001190793","HathiTrust Record")</f>
        <v/>
      </c>
      <c r="AS51">
        <f>HYPERLINK("https://creighton-primo.hosted.exlibrisgroup.com/primo-explore/search?tab=default_tab&amp;search_scope=EVERYTHING&amp;vid=01CRU&amp;lang=en_US&amp;offset=0&amp;query=any,contains,991003143579702656","Catalog Record")</f>
        <v/>
      </c>
      <c r="AT51">
        <f>HYPERLINK("http://www.worldcat.org/oclc/684844","WorldCat Record")</f>
        <v/>
      </c>
      <c r="AU51" t="inlineStr">
        <is>
          <t>1764736:eng</t>
        </is>
      </c>
      <c r="AV51" t="inlineStr">
        <is>
          <t>684844</t>
        </is>
      </c>
      <c r="AW51" t="inlineStr">
        <is>
          <t>991003143579702656</t>
        </is>
      </c>
      <c r="AX51" t="inlineStr">
        <is>
          <t>991003143579702656</t>
        </is>
      </c>
      <c r="AY51" t="inlineStr">
        <is>
          <t>2266146540002656</t>
        </is>
      </c>
      <c r="AZ51" t="inlineStr">
        <is>
          <t>BOOK</t>
        </is>
      </c>
      <c r="BC51" t="inlineStr">
        <is>
          <t>32285000306224</t>
        </is>
      </c>
      <c r="BD51" t="inlineStr">
        <is>
          <t>893774438</t>
        </is>
      </c>
    </row>
    <row r="52">
      <c r="A52" t="inlineStr">
        <is>
          <t>No</t>
        </is>
      </c>
      <c r="B52" t="inlineStr">
        <is>
          <t>PF3511 .K87 1987</t>
        </is>
      </c>
      <c r="C52" t="inlineStr">
        <is>
          <t>0                      PF 3511000K  87          1987</t>
        </is>
      </c>
      <c r="D52" t="inlineStr">
        <is>
          <t>Kurze Stilistik : eine Anleitung für Schüler / hrsg. von Bodo Friedrich und Johannes Zech.</t>
        </is>
      </c>
      <c r="F52" t="inlineStr">
        <is>
          <t>No</t>
        </is>
      </c>
      <c r="G52" t="inlineStr">
        <is>
          <t>1</t>
        </is>
      </c>
      <c r="H52" t="inlineStr">
        <is>
          <t>No</t>
        </is>
      </c>
      <c r="I52" t="inlineStr">
        <is>
          <t>No</t>
        </is>
      </c>
      <c r="J52" t="inlineStr">
        <is>
          <t>0</t>
        </is>
      </c>
      <c r="L52" t="inlineStr">
        <is>
          <t>Berlin : Volk und Wissen Volkseigener, c1987.</t>
        </is>
      </c>
      <c r="M52" t="inlineStr">
        <is>
          <t>1987</t>
        </is>
      </c>
      <c r="N52" t="inlineStr">
        <is>
          <t>1. Aufl.</t>
        </is>
      </c>
      <c r="O52" t="inlineStr">
        <is>
          <t>ger</t>
        </is>
      </c>
      <c r="P52" t="inlineStr">
        <is>
          <t xml:space="preserve">gw </t>
        </is>
      </c>
      <c r="R52" t="inlineStr">
        <is>
          <t xml:space="preserve">PF </t>
        </is>
      </c>
      <c r="S52" t="n">
        <v>3</v>
      </c>
      <c r="T52" t="n">
        <v>3</v>
      </c>
      <c r="U52" t="inlineStr">
        <is>
          <t>1993-12-14</t>
        </is>
      </c>
      <c r="V52" t="inlineStr">
        <is>
          <t>1993-12-14</t>
        </is>
      </c>
      <c r="W52" t="inlineStr">
        <is>
          <t>1990-02-07</t>
        </is>
      </c>
      <c r="X52" t="inlineStr">
        <is>
          <t>1990-02-07</t>
        </is>
      </c>
      <c r="Y52" t="n">
        <v>25</v>
      </c>
      <c r="Z52" t="n">
        <v>1</v>
      </c>
      <c r="AA52" t="n">
        <v>1</v>
      </c>
      <c r="AB52" t="n">
        <v>1</v>
      </c>
      <c r="AC52" t="n">
        <v>1</v>
      </c>
      <c r="AD52" t="n">
        <v>0</v>
      </c>
      <c r="AE52" t="n">
        <v>0</v>
      </c>
      <c r="AF52" t="n">
        <v>0</v>
      </c>
      <c r="AG52" t="n">
        <v>0</v>
      </c>
      <c r="AH52" t="n">
        <v>0</v>
      </c>
      <c r="AI52" t="n">
        <v>0</v>
      </c>
      <c r="AJ52" t="n">
        <v>0</v>
      </c>
      <c r="AK52" t="n">
        <v>0</v>
      </c>
      <c r="AL52" t="n">
        <v>0</v>
      </c>
      <c r="AM52" t="n">
        <v>0</v>
      </c>
      <c r="AN52" t="n">
        <v>0</v>
      </c>
      <c r="AO52" t="n">
        <v>0</v>
      </c>
      <c r="AP52" t="inlineStr">
        <is>
          <t>No</t>
        </is>
      </c>
      <c r="AQ52" t="inlineStr">
        <is>
          <t>No</t>
        </is>
      </c>
      <c r="AS52">
        <f>HYPERLINK("https://creighton-primo.hosted.exlibrisgroup.com/primo-explore/search?tab=default_tab&amp;search_scope=EVERYTHING&amp;vid=01CRU&amp;lang=en_US&amp;offset=0&amp;query=any,contains,991001636139702656","Catalog Record")</f>
        <v/>
      </c>
      <c r="AT52">
        <f>HYPERLINK("http://www.worldcat.org/oclc/20970016","WorldCat Record")</f>
        <v/>
      </c>
      <c r="AU52" t="inlineStr">
        <is>
          <t>864037412:ger</t>
        </is>
      </c>
      <c r="AV52" t="inlineStr">
        <is>
          <t>20970016</t>
        </is>
      </c>
      <c r="AW52" t="inlineStr">
        <is>
          <t>991001636139702656</t>
        </is>
      </c>
      <c r="AX52" t="inlineStr">
        <is>
          <t>991001636139702656</t>
        </is>
      </c>
      <c r="AY52" t="inlineStr">
        <is>
          <t>2262886430002656</t>
        </is>
      </c>
      <c r="AZ52" t="inlineStr">
        <is>
          <t>BOOK</t>
        </is>
      </c>
      <c r="BB52" t="inlineStr">
        <is>
          <t>9783061017132</t>
        </is>
      </c>
      <c r="BC52" t="inlineStr">
        <is>
          <t>32285000030964</t>
        </is>
      </c>
      <c r="BD52" t="inlineStr">
        <is>
          <t>893225968</t>
        </is>
      </c>
    </row>
    <row r="53">
      <c r="A53" t="inlineStr">
        <is>
          <t>No</t>
        </is>
      </c>
      <c r="B53" t="inlineStr">
        <is>
          <t>PF3595 .M4 1971</t>
        </is>
      </c>
      <c r="C53" t="inlineStr">
        <is>
          <t>0                      PF 3595000M  4           1971</t>
        </is>
      </c>
      <c r="D53" t="inlineStr">
        <is>
          <t>Mahlen oder malen? : Gleichklingende, aber verschieden geschriebene Wörter / von Wolfgang Mentrup.</t>
        </is>
      </c>
      <c r="F53" t="inlineStr">
        <is>
          <t>No</t>
        </is>
      </c>
      <c r="G53" t="inlineStr">
        <is>
          <t>1</t>
        </is>
      </c>
      <c r="H53" t="inlineStr">
        <is>
          <t>No</t>
        </is>
      </c>
      <c r="I53" t="inlineStr">
        <is>
          <t>No</t>
        </is>
      </c>
      <c r="J53" t="inlineStr">
        <is>
          <t>0</t>
        </is>
      </c>
      <c r="K53" t="inlineStr">
        <is>
          <t>Mentrup, Wolfgang, 1935-</t>
        </is>
      </c>
      <c r="L53" t="inlineStr">
        <is>
          <t>Mannheim ; Wien ; Zürich : Bibliographisches Institut, (1971).</t>
        </is>
      </c>
      <c r="M53" t="inlineStr">
        <is>
          <t>1971</t>
        </is>
      </c>
      <c r="O53" t="inlineStr">
        <is>
          <t>ger</t>
        </is>
      </c>
      <c r="P53" t="inlineStr">
        <is>
          <t>___</t>
        </is>
      </c>
      <c r="Q53" t="inlineStr">
        <is>
          <t>Duden-Taschenbücher ; Bd. 13</t>
        </is>
      </c>
      <c r="R53" t="inlineStr">
        <is>
          <t xml:space="preserve">PF </t>
        </is>
      </c>
      <c r="S53" t="n">
        <v>1</v>
      </c>
      <c r="T53" t="n">
        <v>1</v>
      </c>
      <c r="U53" t="inlineStr">
        <is>
          <t>1997-03-26</t>
        </is>
      </c>
      <c r="V53" t="inlineStr">
        <is>
          <t>1997-03-26</t>
        </is>
      </c>
      <c r="W53" t="inlineStr">
        <is>
          <t>1993-04-27</t>
        </is>
      </c>
      <c r="X53" t="inlineStr">
        <is>
          <t>1993-04-27</t>
        </is>
      </c>
      <c r="Y53" t="n">
        <v>72</v>
      </c>
      <c r="Z53" t="n">
        <v>44</v>
      </c>
      <c r="AA53" t="n">
        <v>49</v>
      </c>
      <c r="AB53" t="n">
        <v>2</v>
      </c>
      <c r="AC53" t="n">
        <v>2</v>
      </c>
      <c r="AD53" t="n">
        <v>1</v>
      </c>
      <c r="AE53" t="n">
        <v>1</v>
      </c>
      <c r="AF53" t="n">
        <v>0</v>
      </c>
      <c r="AG53" t="n">
        <v>0</v>
      </c>
      <c r="AH53" t="n">
        <v>0</v>
      </c>
      <c r="AI53" t="n">
        <v>0</v>
      </c>
      <c r="AJ53" t="n">
        <v>0</v>
      </c>
      <c r="AK53" t="n">
        <v>0</v>
      </c>
      <c r="AL53" t="n">
        <v>1</v>
      </c>
      <c r="AM53" t="n">
        <v>1</v>
      </c>
      <c r="AN53" t="n">
        <v>0</v>
      </c>
      <c r="AO53" t="n">
        <v>0</v>
      </c>
      <c r="AP53" t="inlineStr">
        <is>
          <t>No</t>
        </is>
      </c>
      <c r="AQ53" t="inlineStr">
        <is>
          <t>No</t>
        </is>
      </c>
      <c r="AS53">
        <f>HYPERLINK("https://creighton-primo.hosted.exlibrisgroup.com/primo-explore/search?tab=default_tab&amp;search_scope=EVERYTHING&amp;vid=01CRU&amp;lang=en_US&amp;offset=0&amp;query=any,contains,991002746609702656","Catalog Record")</f>
        <v/>
      </c>
      <c r="AT53">
        <f>HYPERLINK("http://www.worldcat.org/oclc/422964","WorldCat Record")</f>
        <v/>
      </c>
      <c r="AU53" t="inlineStr">
        <is>
          <t>350826132:ger</t>
        </is>
      </c>
      <c r="AV53" t="inlineStr">
        <is>
          <t>422964</t>
        </is>
      </c>
      <c r="AW53" t="inlineStr">
        <is>
          <t>991002746609702656</t>
        </is>
      </c>
      <c r="AX53" t="inlineStr">
        <is>
          <t>991002746609702656</t>
        </is>
      </c>
      <c r="AY53" t="inlineStr">
        <is>
          <t>2267033080002656</t>
        </is>
      </c>
      <c r="AZ53" t="inlineStr">
        <is>
          <t>BOOK</t>
        </is>
      </c>
      <c r="BC53" t="inlineStr">
        <is>
          <t>32285001648392</t>
        </is>
      </c>
      <c r="BD53" t="inlineStr">
        <is>
          <t>893710634</t>
        </is>
      </c>
    </row>
    <row r="54">
      <c r="A54" t="inlineStr">
        <is>
          <t>No</t>
        </is>
      </c>
      <c r="B54" t="inlineStr">
        <is>
          <t>PF3640 .B45 1958</t>
        </is>
      </c>
      <c r="C54" t="inlineStr">
        <is>
          <t>0                      PF 3640000B  45          1958</t>
        </is>
      </c>
      <c r="D54" t="inlineStr">
        <is>
          <t>The new Cassell's German dictionary : German-English, English-German / based on the editions by Karl Breul. Completely rev. and re-edited. With a foreword by Gerhard Cordes.</t>
        </is>
      </c>
      <c r="F54" t="inlineStr">
        <is>
          <t>No</t>
        </is>
      </c>
      <c r="G54" t="inlineStr">
        <is>
          <t>1</t>
        </is>
      </c>
      <c r="H54" t="inlineStr">
        <is>
          <t>No</t>
        </is>
      </c>
      <c r="I54" t="inlineStr">
        <is>
          <t>Yes</t>
        </is>
      </c>
      <c r="J54" t="inlineStr">
        <is>
          <t>0</t>
        </is>
      </c>
      <c r="K54" t="inlineStr">
        <is>
          <t>Betteridge, Harold T. editor.</t>
        </is>
      </c>
      <c r="L54" t="inlineStr">
        <is>
          <t>New York : Funk &amp; Wagnalls, [1958]</t>
        </is>
      </c>
      <c r="M54" t="inlineStr">
        <is>
          <t>1958</t>
        </is>
      </c>
      <c r="O54" t="inlineStr">
        <is>
          <t>eng</t>
        </is>
      </c>
      <c r="P54" t="inlineStr">
        <is>
          <t>nyu</t>
        </is>
      </c>
      <c r="R54" t="inlineStr">
        <is>
          <t xml:space="preserve">PF </t>
        </is>
      </c>
      <c r="S54" t="n">
        <v>5</v>
      </c>
      <c r="T54" t="n">
        <v>5</v>
      </c>
      <c r="U54" t="inlineStr">
        <is>
          <t>2010-05-06</t>
        </is>
      </c>
      <c r="V54" t="inlineStr">
        <is>
          <t>2010-05-06</t>
        </is>
      </c>
      <c r="W54" t="inlineStr">
        <is>
          <t>1996-12-20</t>
        </is>
      </c>
      <c r="X54" t="inlineStr">
        <is>
          <t>1996-12-20</t>
        </is>
      </c>
      <c r="Y54" t="n">
        <v>1584</v>
      </c>
      <c r="Z54" t="n">
        <v>1544</v>
      </c>
      <c r="AA54" t="n">
        <v>2680</v>
      </c>
      <c r="AB54" t="n">
        <v>15</v>
      </c>
      <c r="AC54" t="n">
        <v>21</v>
      </c>
      <c r="AD54" t="n">
        <v>28</v>
      </c>
      <c r="AE54" t="n">
        <v>49</v>
      </c>
      <c r="AF54" t="n">
        <v>9</v>
      </c>
      <c r="AG54" t="n">
        <v>18</v>
      </c>
      <c r="AH54" t="n">
        <v>4</v>
      </c>
      <c r="AI54" t="n">
        <v>7</v>
      </c>
      <c r="AJ54" t="n">
        <v>12</v>
      </c>
      <c r="AK54" t="n">
        <v>17</v>
      </c>
      <c r="AL54" t="n">
        <v>3</v>
      </c>
      <c r="AM54" t="n">
        <v>5</v>
      </c>
      <c r="AN54" t="n">
        <v>3</v>
      </c>
      <c r="AO54" t="n">
        <v>8</v>
      </c>
      <c r="AP54" t="inlineStr">
        <is>
          <t>No</t>
        </is>
      </c>
      <c r="AQ54" t="inlineStr">
        <is>
          <t>Yes</t>
        </is>
      </c>
      <c r="AR54">
        <f>HYPERLINK("http://catalog.hathitrust.org/Record/001183515","HathiTrust Record")</f>
        <v/>
      </c>
      <c r="AS54">
        <f>HYPERLINK("https://creighton-primo.hosted.exlibrisgroup.com/primo-explore/search?tab=default_tab&amp;search_scope=EVERYTHING&amp;vid=01CRU&amp;lang=en_US&amp;offset=0&amp;query=any,contains,991002758709702656","Catalog Record")</f>
        <v/>
      </c>
      <c r="AT54">
        <f>HYPERLINK("http://www.worldcat.org/oclc/427234","WorldCat Record")</f>
        <v/>
      </c>
      <c r="AU54" t="inlineStr">
        <is>
          <t>3755225416:eng</t>
        </is>
      </c>
      <c r="AV54" t="inlineStr">
        <is>
          <t>427234</t>
        </is>
      </c>
      <c r="AW54" t="inlineStr">
        <is>
          <t>991002758709702656</t>
        </is>
      </c>
      <c r="AX54" t="inlineStr">
        <is>
          <t>991002758709702656</t>
        </is>
      </c>
      <c r="AY54" t="inlineStr">
        <is>
          <t>2264626190002656</t>
        </is>
      </c>
      <c r="AZ54" t="inlineStr">
        <is>
          <t>BOOK</t>
        </is>
      </c>
      <c r="BC54" t="inlineStr">
        <is>
          <t>32285002401908</t>
        </is>
      </c>
      <c r="BD54" t="inlineStr">
        <is>
          <t>893335675</t>
        </is>
      </c>
    </row>
    <row r="55">
      <c r="A55" t="inlineStr">
        <is>
          <t>No</t>
        </is>
      </c>
      <c r="B55" t="inlineStr">
        <is>
          <t>PF3640 .B84 1939</t>
        </is>
      </c>
      <c r="C55" t="inlineStr">
        <is>
          <t>0                      PF 3640000B  84          1939</t>
        </is>
      </c>
      <c r="D55" t="inlineStr">
        <is>
          <t>Cassell's new German-English dictionary : with a phonetic key to pronunciation / by Karl Breul.</t>
        </is>
      </c>
      <c r="F55" t="inlineStr">
        <is>
          <t>No</t>
        </is>
      </c>
      <c r="G55" t="inlineStr">
        <is>
          <t>1</t>
        </is>
      </c>
      <c r="H55" t="inlineStr">
        <is>
          <t>Yes</t>
        </is>
      </c>
      <c r="I55" t="inlineStr">
        <is>
          <t>No</t>
        </is>
      </c>
      <c r="J55" t="inlineStr">
        <is>
          <t>0</t>
        </is>
      </c>
      <c r="K55" t="inlineStr">
        <is>
          <t>Breul, Karl, 1860-1932.</t>
        </is>
      </c>
      <c r="L55" t="inlineStr">
        <is>
          <t>New York : Funk and Wagnalls Company, [1939]</t>
        </is>
      </c>
      <c r="M55" t="inlineStr">
        <is>
          <t>1939</t>
        </is>
      </c>
      <c r="N55" t="inlineStr">
        <is>
          <t>Rev. and enl. / by J. Heron Lepper, B.A. and Rudolf Kottenhahn.</t>
        </is>
      </c>
      <c r="O55" t="inlineStr">
        <is>
          <t>eng</t>
        </is>
      </c>
      <c r="P55" t="inlineStr">
        <is>
          <t>nyu</t>
        </is>
      </c>
      <c r="R55" t="inlineStr">
        <is>
          <t xml:space="preserve">PF </t>
        </is>
      </c>
      <c r="S55" t="n">
        <v>13</v>
      </c>
      <c r="T55" t="n">
        <v>14</v>
      </c>
      <c r="U55" t="inlineStr">
        <is>
          <t>1995-06-10</t>
        </is>
      </c>
      <c r="V55" t="inlineStr">
        <is>
          <t>1995-06-10</t>
        </is>
      </c>
      <c r="W55" t="inlineStr">
        <is>
          <t>1992-04-22</t>
        </is>
      </c>
      <c r="X55" t="inlineStr">
        <is>
          <t>1994-05-17</t>
        </is>
      </c>
      <c r="Y55" t="n">
        <v>438</v>
      </c>
      <c r="Z55" t="n">
        <v>415</v>
      </c>
      <c r="AA55" t="n">
        <v>640</v>
      </c>
      <c r="AB55" t="n">
        <v>3</v>
      </c>
      <c r="AC55" t="n">
        <v>5</v>
      </c>
      <c r="AD55" t="n">
        <v>14</v>
      </c>
      <c r="AE55" t="n">
        <v>18</v>
      </c>
      <c r="AF55" t="n">
        <v>4</v>
      </c>
      <c r="AG55" t="n">
        <v>5</v>
      </c>
      <c r="AH55" t="n">
        <v>3</v>
      </c>
      <c r="AI55" t="n">
        <v>4</v>
      </c>
      <c r="AJ55" t="n">
        <v>8</v>
      </c>
      <c r="AK55" t="n">
        <v>10</v>
      </c>
      <c r="AL55" t="n">
        <v>1</v>
      </c>
      <c r="AM55" t="n">
        <v>2</v>
      </c>
      <c r="AN55" t="n">
        <v>1</v>
      </c>
      <c r="AO55" t="n">
        <v>1</v>
      </c>
      <c r="AP55" t="inlineStr">
        <is>
          <t>No</t>
        </is>
      </c>
      <c r="AQ55" t="inlineStr">
        <is>
          <t>Yes</t>
        </is>
      </c>
      <c r="AR55">
        <f>HYPERLINK("http://catalog.hathitrust.org/Record/001183520","HathiTrust Record")</f>
        <v/>
      </c>
      <c r="AS55">
        <f>HYPERLINK("https://creighton-primo.hosted.exlibrisgroup.com/primo-explore/search?tab=default_tab&amp;search_scope=EVERYTHING&amp;vid=01CRU&amp;lang=en_US&amp;offset=0&amp;query=any,contains,991001661139702656","Catalog Record")</f>
        <v/>
      </c>
      <c r="AT55">
        <f>HYPERLINK("http://www.worldcat.org/oclc/608696","WorldCat Record")</f>
        <v/>
      </c>
      <c r="AU55" t="inlineStr">
        <is>
          <t>3855308250:eng</t>
        </is>
      </c>
      <c r="AV55" t="inlineStr">
        <is>
          <t>608696</t>
        </is>
      </c>
      <c r="AW55" t="inlineStr">
        <is>
          <t>991001661139702656</t>
        </is>
      </c>
      <c r="AX55" t="inlineStr">
        <is>
          <t>991001661139702656</t>
        </is>
      </c>
      <c r="AY55" t="inlineStr">
        <is>
          <t>2255351290002656</t>
        </is>
      </c>
      <c r="AZ55" t="inlineStr">
        <is>
          <t>BOOK</t>
        </is>
      </c>
      <c r="BC55" t="inlineStr">
        <is>
          <t>32285001063865</t>
        </is>
      </c>
      <c r="BD55" t="inlineStr">
        <is>
          <t>893709439</t>
        </is>
      </c>
    </row>
    <row r="56">
      <c r="A56" t="inlineStr">
        <is>
          <t>No</t>
        </is>
      </c>
      <c r="B56" t="inlineStr">
        <is>
          <t>PF3640 .B866 1961</t>
        </is>
      </c>
      <c r="C56" t="inlineStr">
        <is>
          <t>0                      PF 3640000B  866         1961</t>
        </is>
      </c>
      <c r="D56" t="inlineStr">
        <is>
          <t>Brockhaus illustrated dictionary : English-German, German-English / compiled by Will Héracourt and the editorial staff of the publishing house.</t>
        </is>
      </c>
      <c r="F56" t="inlineStr">
        <is>
          <t>No</t>
        </is>
      </c>
      <c r="G56" t="inlineStr">
        <is>
          <t>1</t>
        </is>
      </c>
      <c r="H56" t="inlineStr">
        <is>
          <t>No</t>
        </is>
      </c>
      <c r="I56" t="inlineStr">
        <is>
          <t>No</t>
        </is>
      </c>
      <c r="J56" t="inlineStr">
        <is>
          <t>0</t>
        </is>
      </c>
      <c r="M56" t="inlineStr">
        <is>
          <t>1961</t>
        </is>
      </c>
      <c r="N56" t="inlineStr">
        <is>
          <t>3d ed.</t>
        </is>
      </c>
      <c r="O56" t="inlineStr">
        <is>
          <t>ger</t>
        </is>
      </c>
      <c r="P56" t="inlineStr">
        <is>
          <t xml:space="preserve">gw </t>
        </is>
      </c>
      <c r="Q56" t="inlineStr">
        <is>
          <t>Brockhaus illustrated dictionaries in two languages</t>
        </is>
      </c>
      <c r="R56" t="inlineStr">
        <is>
          <t xml:space="preserve">PF </t>
        </is>
      </c>
      <c r="S56" t="n">
        <v>2</v>
      </c>
      <c r="T56" t="n">
        <v>2</v>
      </c>
      <c r="U56" t="inlineStr">
        <is>
          <t>1997-04-29</t>
        </is>
      </c>
      <c r="V56" t="inlineStr">
        <is>
          <t>1997-04-29</t>
        </is>
      </c>
      <c r="W56" t="inlineStr">
        <is>
          <t>1996-12-20</t>
        </is>
      </c>
      <c r="X56" t="inlineStr">
        <is>
          <t>1996-12-20</t>
        </is>
      </c>
      <c r="Y56" t="n">
        <v>23</v>
      </c>
      <c r="Z56" t="n">
        <v>19</v>
      </c>
      <c r="AA56" t="n">
        <v>19</v>
      </c>
      <c r="AB56" t="n">
        <v>1</v>
      </c>
      <c r="AC56" t="n">
        <v>1</v>
      </c>
      <c r="AD56" t="n">
        <v>0</v>
      </c>
      <c r="AE56" t="n">
        <v>0</v>
      </c>
      <c r="AF56" t="n">
        <v>0</v>
      </c>
      <c r="AG56" t="n">
        <v>0</v>
      </c>
      <c r="AH56" t="n">
        <v>0</v>
      </c>
      <c r="AI56" t="n">
        <v>0</v>
      </c>
      <c r="AJ56" t="n">
        <v>0</v>
      </c>
      <c r="AK56" t="n">
        <v>0</v>
      </c>
      <c r="AL56" t="n">
        <v>0</v>
      </c>
      <c r="AM56" t="n">
        <v>0</v>
      </c>
      <c r="AN56" t="n">
        <v>0</v>
      </c>
      <c r="AO56" t="n">
        <v>0</v>
      </c>
      <c r="AP56" t="inlineStr">
        <is>
          <t>No</t>
        </is>
      </c>
      <c r="AQ56" t="inlineStr">
        <is>
          <t>No</t>
        </is>
      </c>
      <c r="AS56">
        <f>HYPERLINK("https://creighton-primo.hosted.exlibrisgroup.com/primo-explore/search?tab=default_tab&amp;search_scope=EVERYTHING&amp;vid=01CRU&amp;lang=en_US&amp;offset=0&amp;query=any,contains,991004542849702656","Catalog Record")</f>
        <v/>
      </c>
      <c r="AT56">
        <f>HYPERLINK("http://www.worldcat.org/oclc/3904116","WorldCat Record")</f>
        <v/>
      </c>
      <c r="AU56" t="inlineStr">
        <is>
          <t>4916783615:ger</t>
        </is>
      </c>
      <c r="AV56" t="inlineStr">
        <is>
          <t>3904116</t>
        </is>
      </c>
      <c r="AW56" t="inlineStr">
        <is>
          <t>991004542849702656</t>
        </is>
      </c>
      <c r="AX56" t="inlineStr">
        <is>
          <t>991004542849702656</t>
        </is>
      </c>
      <c r="AY56" t="inlineStr">
        <is>
          <t>2264179890002656</t>
        </is>
      </c>
      <c r="AZ56" t="inlineStr">
        <is>
          <t>BOOK</t>
        </is>
      </c>
      <c r="BC56" t="inlineStr">
        <is>
          <t>32285002401916</t>
        </is>
      </c>
      <c r="BD56" t="inlineStr">
        <is>
          <t>893241563</t>
        </is>
      </c>
    </row>
    <row r="57">
      <c r="A57" t="inlineStr">
        <is>
          <t>No</t>
        </is>
      </c>
      <c r="B57" t="inlineStr">
        <is>
          <t>PF3640 .F59 1963</t>
        </is>
      </c>
      <c r="C57" t="inlineStr">
        <is>
          <t>0                      PF 3640000F  59          1963</t>
        </is>
      </c>
      <c r="D57" t="inlineStr">
        <is>
          <t>Follett world-wide dictionaries, German : German-English, English-German (American English) / compiled by Paul H. Glucksman ; edited by Herbert Rodeck and T.C. Appelt. With a traveler's conversation guide, containing hundreds of expressions and items of information useful to tourists and students alike.</t>
        </is>
      </c>
      <c r="F57" t="inlineStr">
        <is>
          <t>No</t>
        </is>
      </c>
      <c r="G57" t="inlineStr">
        <is>
          <t>1</t>
        </is>
      </c>
      <c r="H57" t="inlineStr">
        <is>
          <t>No</t>
        </is>
      </c>
      <c r="I57" t="inlineStr">
        <is>
          <t>No</t>
        </is>
      </c>
      <c r="J57" t="inlineStr">
        <is>
          <t>0</t>
        </is>
      </c>
      <c r="L57" t="inlineStr">
        <is>
          <t>Chicago : Follett Pub. Co., 1963 [c1962]</t>
        </is>
      </c>
      <c r="M57" t="inlineStr">
        <is>
          <t>1963</t>
        </is>
      </c>
      <c r="O57" t="inlineStr">
        <is>
          <t>eng</t>
        </is>
      </c>
      <c r="P57" t="inlineStr">
        <is>
          <t>ilu</t>
        </is>
      </c>
      <c r="R57" t="inlineStr">
        <is>
          <t xml:space="preserve">PF </t>
        </is>
      </c>
      <c r="S57" t="n">
        <v>6</v>
      </c>
      <c r="T57" t="n">
        <v>6</v>
      </c>
      <c r="U57" t="inlineStr">
        <is>
          <t>1993-09-27</t>
        </is>
      </c>
      <c r="V57" t="inlineStr">
        <is>
          <t>1993-09-27</t>
        </is>
      </c>
      <c r="W57" t="inlineStr">
        <is>
          <t>1992-05-28</t>
        </is>
      </c>
      <c r="X57" t="inlineStr">
        <is>
          <t>1992-05-28</t>
        </is>
      </c>
      <c r="Y57" t="n">
        <v>51</v>
      </c>
      <c r="Z57" t="n">
        <v>48</v>
      </c>
      <c r="AA57" t="n">
        <v>154</v>
      </c>
      <c r="AB57" t="n">
        <v>1</v>
      </c>
      <c r="AC57" t="n">
        <v>2</v>
      </c>
      <c r="AD57" t="n">
        <v>0</v>
      </c>
      <c r="AE57" t="n">
        <v>2</v>
      </c>
      <c r="AF57" t="n">
        <v>0</v>
      </c>
      <c r="AG57" t="n">
        <v>0</v>
      </c>
      <c r="AH57" t="n">
        <v>0</v>
      </c>
      <c r="AI57" t="n">
        <v>0</v>
      </c>
      <c r="AJ57" t="n">
        <v>0</v>
      </c>
      <c r="AK57" t="n">
        <v>1</v>
      </c>
      <c r="AL57" t="n">
        <v>0</v>
      </c>
      <c r="AM57" t="n">
        <v>1</v>
      </c>
      <c r="AN57" t="n">
        <v>0</v>
      </c>
      <c r="AO57" t="n">
        <v>0</v>
      </c>
      <c r="AP57" t="inlineStr">
        <is>
          <t>No</t>
        </is>
      </c>
      <c r="AQ57" t="inlineStr">
        <is>
          <t>Yes</t>
        </is>
      </c>
      <c r="AR57">
        <f>HYPERLINK("http://catalog.hathitrust.org/Record/006948680","HathiTrust Record")</f>
        <v/>
      </c>
      <c r="AS57">
        <f>HYPERLINK("https://creighton-primo.hosted.exlibrisgroup.com/primo-explore/search?tab=default_tab&amp;search_scope=EVERYTHING&amp;vid=01CRU&amp;lang=en_US&amp;offset=0&amp;query=any,contains,991003870969702656","Catalog Record")</f>
        <v/>
      </c>
      <c r="AT57">
        <f>HYPERLINK("http://www.worldcat.org/oclc/1693110","WorldCat Record")</f>
        <v/>
      </c>
      <c r="AU57" t="inlineStr">
        <is>
          <t>3863663719:eng</t>
        </is>
      </c>
      <c r="AV57" t="inlineStr">
        <is>
          <t>1693110</t>
        </is>
      </c>
      <c r="AW57" t="inlineStr">
        <is>
          <t>991003870969702656</t>
        </is>
      </c>
      <c r="AX57" t="inlineStr">
        <is>
          <t>991003870969702656</t>
        </is>
      </c>
      <c r="AY57" t="inlineStr">
        <is>
          <t>2256702050002656</t>
        </is>
      </c>
      <c r="AZ57" t="inlineStr">
        <is>
          <t>BOOK</t>
        </is>
      </c>
      <c r="BC57" t="inlineStr">
        <is>
          <t>32285001113314</t>
        </is>
      </c>
      <c r="BD57" t="inlineStr">
        <is>
          <t>893518955</t>
        </is>
      </c>
    </row>
    <row r="58">
      <c r="A58" t="inlineStr">
        <is>
          <t>No</t>
        </is>
      </c>
      <c r="B58" t="inlineStr">
        <is>
          <t>PF3640 .O35</t>
        </is>
      </c>
      <c r="C58" t="inlineStr">
        <is>
          <t>0                      PF 3640000O  35</t>
        </is>
      </c>
      <c r="D58" t="inlineStr">
        <is>
          <t>Grundwortschatz Deutsch = Essential German = Allemand fondamental / Bearb. von/compiled by/elaborado por Heinz Oehler, Carl Heupel.</t>
        </is>
      </c>
      <c r="F58" t="inlineStr">
        <is>
          <t>No</t>
        </is>
      </c>
      <c r="G58" t="inlineStr">
        <is>
          <t>1</t>
        </is>
      </c>
      <c r="H58" t="inlineStr">
        <is>
          <t>No</t>
        </is>
      </c>
      <c r="I58" t="inlineStr">
        <is>
          <t>No</t>
        </is>
      </c>
      <c r="J58" t="inlineStr">
        <is>
          <t>0</t>
        </is>
      </c>
      <c r="K58" t="inlineStr">
        <is>
          <t>Oehler, Heinz.</t>
        </is>
      </c>
      <c r="L58" t="inlineStr">
        <is>
          <t>Stuttgart, GERMANY : Ernst Klett, c1966.</t>
        </is>
      </c>
      <c r="M58" t="inlineStr">
        <is>
          <t>1966</t>
        </is>
      </c>
      <c r="O58" t="inlineStr">
        <is>
          <t>ger</t>
        </is>
      </c>
      <c r="P58" t="inlineStr">
        <is>
          <t xml:space="preserve">gw </t>
        </is>
      </c>
      <c r="R58" t="inlineStr">
        <is>
          <t xml:space="preserve">PF </t>
        </is>
      </c>
      <c r="S58" t="n">
        <v>1</v>
      </c>
      <c r="T58" t="n">
        <v>1</v>
      </c>
      <c r="U58" t="inlineStr">
        <is>
          <t>2003-06-09</t>
        </is>
      </c>
      <c r="V58" t="inlineStr">
        <is>
          <t>2003-06-09</t>
        </is>
      </c>
      <c r="W58" t="inlineStr">
        <is>
          <t>1997-09-08</t>
        </is>
      </c>
      <c r="X58" t="inlineStr">
        <is>
          <t>1997-09-08</t>
        </is>
      </c>
      <c r="Y58" t="n">
        <v>87</v>
      </c>
      <c r="Z58" t="n">
        <v>34</v>
      </c>
      <c r="AA58" t="n">
        <v>58</v>
      </c>
      <c r="AB58" t="n">
        <v>1</v>
      </c>
      <c r="AC58" t="n">
        <v>1</v>
      </c>
      <c r="AD58" t="n">
        <v>0</v>
      </c>
      <c r="AE58" t="n">
        <v>1</v>
      </c>
      <c r="AF58" t="n">
        <v>0</v>
      </c>
      <c r="AG58" t="n">
        <v>0</v>
      </c>
      <c r="AH58" t="n">
        <v>0</v>
      </c>
      <c r="AI58" t="n">
        <v>0</v>
      </c>
      <c r="AJ58" t="n">
        <v>0</v>
      </c>
      <c r="AK58" t="n">
        <v>1</v>
      </c>
      <c r="AL58" t="n">
        <v>0</v>
      </c>
      <c r="AM58" t="n">
        <v>0</v>
      </c>
      <c r="AN58" t="n">
        <v>0</v>
      </c>
      <c r="AO58" t="n">
        <v>0</v>
      </c>
      <c r="AP58" t="inlineStr">
        <is>
          <t>No</t>
        </is>
      </c>
      <c r="AQ58" t="inlineStr">
        <is>
          <t>No</t>
        </is>
      </c>
      <c r="AS58">
        <f>HYPERLINK("https://creighton-primo.hosted.exlibrisgroup.com/primo-explore/search?tab=default_tab&amp;search_scope=EVERYTHING&amp;vid=01CRU&amp;lang=en_US&amp;offset=0&amp;query=any,contains,991000609139702656","Catalog Record")</f>
        <v/>
      </c>
      <c r="AT58">
        <f>HYPERLINK("http://www.worldcat.org/oclc/11885270","WorldCat Record")</f>
        <v/>
      </c>
      <c r="AU58" t="inlineStr">
        <is>
          <t>472697054:ger</t>
        </is>
      </c>
      <c r="AV58" t="inlineStr">
        <is>
          <t>11885270</t>
        </is>
      </c>
      <c r="AW58" t="inlineStr">
        <is>
          <t>991000609139702656</t>
        </is>
      </c>
      <c r="AX58" t="inlineStr">
        <is>
          <t>991000609139702656</t>
        </is>
      </c>
      <c r="AY58" t="inlineStr">
        <is>
          <t>2265513670002656</t>
        </is>
      </c>
      <c r="AZ58" t="inlineStr">
        <is>
          <t>BOOK</t>
        </is>
      </c>
      <c r="BC58" t="inlineStr">
        <is>
          <t>32285003165130</t>
        </is>
      </c>
      <c r="BD58" t="inlineStr">
        <is>
          <t>893784381</t>
        </is>
      </c>
    </row>
    <row r="59">
      <c r="A59" t="inlineStr">
        <is>
          <t>No</t>
        </is>
      </c>
      <c r="B59" t="inlineStr">
        <is>
          <t>PF3640 .R68 1995</t>
        </is>
      </c>
      <c r="C59" t="inlineStr">
        <is>
          <t>0                      PF 3640000R  68          1995</t>
        </is>
      </c>
      <c r="D59" t="inlineStr">
        <is>
          <t>German dictionary and grammar / Gunhild Prowe, Jill Schneider, William Rowlinson.</t>
        </is>
      </c>
      <c r="F59" t="inlineStr">
        <is>
          <t>No</t>
        </is>
      </c>
      <c r="G59" t="inlineStr">
        <is>
          <t>1</t>
        </is>
      </c>
      <c r="H59" t="inlineStr">
        <is>
          <t>No</t>
        </is>
      </c>
      <c r="I59" t="inlineStr">
        <is>
          <t>No</t>
        </is>
      </c>
      <c r="J59" t="inlineStr">
        <is>
          <t>0</t>
        </is>
      </c>
      <c r="K59" t="inlineStr">
        <is>
          <t>Prowe, Gunhild.</t>
        </is>
      </c>
      <c r="L59" t="inlineStr">
        <is>
          <t>Oxford ; New York : Oxford University Press, [1995].</t>
        </is>
      </c>
      <c r="M59" t="inlineStr">
        <is>
          <t>1995</t>
        </is>
      </c>
      <c r="O59" t="inlineStr">
        <is>
          <t>eng</t>
        </is>
      </c>
      <c r="P59" t="inlineStr">
        <is>
          <t>enk</t>
        </is>
      </c>
      <c r="R59" t="inlineStr">
        <is>
          <t xml:space="preserve">PF </t>
        </is>
      </c>
      <c r="S59" t="n">
        <v>12</v>
      </c>
      <c r="T59" t="n">
        <v>12</v>
      </c>
      <c r="U59" t="inlineStr">
        <is>
          <t>2009-07-23</t>
        </is>
      </c>
      <c r="V59" t="inlineStr">
        <is>
          <t>2009-07-23</t>
        </is>
      </c>
      <c r="W59" t="inlineStr">
        <is>
          <t>1998-05-06</t>
        </is>
      </c>
      <c r="X59" t="inlineStr">
        <is>
          <t>1998-05-06</t>
        </is>
      </c>
      <c r="Y59" t="n">
        <v>87</v>
      </c>
      <c r="Z59" t="n">
        <v>68</v>
      </c>
      <c r="AA59" t="n">
        <v>68</v>
      </c>
      <c r="AB59" t="n">
        <v>1</v>
      </c>
      <c r="AC59" t="n">
        <v>1</v>
      </c>
      <c r="AD59" t="n">
        <v>6</v>
      </c>
      <c r="AE59" t="n">
        <v>6</v>
      </c>
      <c r="AF59" t="n">
        <v>1</v>
      </c>
      <c r="AG59" t="n">
        <v>1</v>
      </c>
      <c r="AH59" t="n">
        <v>2</v>
      </c>
      <c r="AI59" t="n">
        <v>2</v>
      </c>
      <c r="AJ59" t="n">
        <v>4</v>
      </c>
      <c r="AK59" t="n">
        <v>4</v>
      </c>
      <c r="AL59" t="n">
        <v>0</v>
      </c>
      <c r="AM59" t="n">
        <v>0</v>
      </c>
      <c r="AN59" t="n">
        <v>1</v>
      </c>
      <c r="AO59" t="n">
        <v>1</v>
      </c>
      <c r="AP59" t="inlineStr">
        <is>
          <t>No</t>
        </is>
      </c>
      <c r="AQ59" t="inlineStr">
        <is>
          <t>No</t>
        </is>
      </c>
      <c r="AS59">
        <f>HYPERLINK("https://creighton-primo.hosted.exlibrisgroup.com/primo-explore/search?tab=default_tab&amp;search_scope=EVERYTHING&amp;vid=01CRU&amp;lang=en_US&amp;offset=0&amp;query=any,contains,991002458849702656","Catalog Record")</f>
        <v/>
      </c>
      <c r="AT59">
        <f>HYPERLINK("http://www.worldcat.org/oclc/32050068","WorldCat Record")</f>
        <v/>
      </c>
      <c r="AU59" t="inlineStr">
        <is>
          <t>3857905886:eng</t>
        </is>
      </c>
      <c r="AV59" t="inlineStr">
        <is>
          <t>32050068</t>
        </is>
      </c>
      <c r="AW59" t="inlineStr">
        <is>
          <t>991002458849702656</t>
        </is>
      </c>
      <c r="AX59" t="inlineStr">
        <is>
          <t>991002458849702656</t>
        </is>
      </c>
      <c r="AY59" t="inlineStr">
        <is>
          <t>2272375970002656</t>
        </is>
      </c>
      <c r="AZ59" t="inlineStr">
        <is>
          <t>BOOK</t>
        </is>
      </c>
      <c r="BB59" t="inlineStr">
        <is>
          <t>9780198645306</t>
        </is>
      </c>
      <c r="BC59" t="inlineStr">
        <is>
          <t>32285003406559</t>
        </is>
      </c>
      <c r="BD59" t="inlineStr">
        <is>
          <t>893226863</t>
        </is>
      </c>
    </row>
    <row r="60">
      <c r="A60" t="inlineStr">
        <is>
          <t>No</t>
        </is>
      </c>
      <c r="B60" t="inlineStr">
        <is>
          <t>PF3640 .S94 1995</t>
        </is>
      </c>
      <c r="C60" t="inlineStr">
        <is>
          <t>0                      PF 3640000S  94          1995</t>
        </is>
      </c>
      <c r="D60" t="inlineStr">
        <is>
          <t>2001 German and English idioms = 2001 deutsche und englische Redewendungen / by Henry Strutz.</t>
        </is>
      </c>
      <c r="F60" t="inlineStr">
        <is>
          <t>No</t>
        </is>
      </c>
      <c r="G60" t="inlineStr">
        <is>
          <t>1</t>
        </is>
      </c>
      <c r="H60" t="inlineStr">
        <is>
          <t>No</t>
        </is>
      </c>
      <c r="I60" t="inlineStr">
        <is>
          <t>No</t>
        </is>
      </c>
      <c r="J60" t="inlineStr">
        <is>
          <t>0</t>
        </is>
      </c>
      <c r="K60" t="inlineStr">
        <is>
          <t>Strutz, Henry, 1932-2018.</t>
        </is>
      </c>
      <c r="L60" t="inlineStr">
        <is>
          <t>Hauppauge, N.Y. : Barron's Educational Series, c1995.</t>
        </is>
      </c>
      <c r="M60" t="inlineStr">
        <is>
          <t>1995</t>
        </is>
      </c>
      <c r="O60" t="inlineStr">
        <is>
          <t>eng</t>
        </is>
      </c>
      <c r="P60" t="inlineStr">
        <is>
          <t>nyu</t>
        </is>
      </c>
      <c r="R60" t="inlineStr">
        <is>
          <t xml:space="preserve">PF </t>
        </is>
      </c>
      <c r="S60" t="n">
        <v>4</v>
      </c>
      <c r="T60" t="n">
        <v>4</v>
      </c>
      <c r="U60" t="inlineStr">
        <is>
          <t>2010-07-29</t>
        </is>
      </c>
      <c r="V60" t="inlineStr">
        <is>
          <t>2010-07-29</t>
        </is>
      </c>
      <c r="W60" t="inlineStr">
        <is>
          <t>1996-05-29</t>
        </is>
      </c>
      <c r="X60" t="inlineStr">
        <is>
          <t>1996-05-29</t>
        </is>
      </c>
      <c r="Y60" t="n">
        <v>177</v>
      </c>
      <c r="Z60" t="n">
        <v>158</v>
      </c>
      <c r="AA60" t="n">
        <v>252</v>
      </c>
      <c r="AB60" t="n">
        <v>3</v>
      </c>
      <c r="AC60" t="n">
        <v>3</v>
      </c>
      <c r="AD60" t="n">
        <v>6</v>
      </c>
      <c r="AE60" t="n">
        <v>8</v>
      </c>
      <c r="AF60" t="n">
        <v>2</v>
      </c>
      <c r="AG60" t="n">
        <v>3</v>
      </c>
      <c r="AH60" t="n">
        <v>1</v>
      </c>
      <c r="AI60" t="n">
        <v>2</v>
      </c>
      <c r="AJ60" t="n">
        <v>2</v>
      </c>
      <c r="AK60" t="n">
        <v>2</v>
      </c>
      <c r="AL60" t="n">
        <v>2</v>
      </c>
      <c r="AM60" t="n">
        <v>2</v>
      </c>
      <c r="AN60" t="n">
        <v>0</v>
      </c>
      <c r="AO60" t="n">
        <v>0</v>
      </c>
      <c r="AP60" t="inlineStr">
        <is>
          <t>No</t>
        </is>
      </c>
      <c r="AQ60" t="inlineStr">
        <is>
          <t>No</t>
        </is>
      </c>
      <c r="AS60">
        <f>HYPERLINK("https://creighton-primo.hosted.exlibrisgroup.com/primo-explore/search?tab=default_tab&amp;search_scope=EVERYTHING&amp;vid=01CRU&amp;lang=en_US&amp;offset=0&amp;query=any,contains,991002565209702656","Catalog Record")</f>
        <v/>
      </c>
      <c r="AT60">
        <f>HYPERLINK("http://www.worldcat.org/oclc/33344572","WorldCat Record")</f>
        <v/>
      </c>
      <c r="AU60" t="inlineStr">
        <is>
          <t>889898467:eng</t>
        </is>
      </c>
      <c r="AV60" t="inlineStr">
        <is>
          <t>33344572</t>
        </is>
      </c>
      <c r="AW60" t="inlineStr">
        <is>
          <t>991002565209702656</t>
        </is>
      </c>
      <c r="AX60" t="inlineStr">
        <is>
          <t>991002565209702656</t>
        </is>
      </c>
      <c r="AY60" t="inlineStr">
        <is>
          <t>2262355860002656</t>
        </is>
      </c>
      <c r="AZ60" t="inlineStr">
        <is>
          <t>BOOK</t>
        </is>
      </c>
      <c r="BB60" t="inlineStr">
        <is>
          <t>9780812090093</t>
        </is>
      </c>
      <c r="BC60" t="inlineStr">
        <is>
          <t>32285002178688</t>
        </is>
      </c>
      <c r="BD60" t="inlineStr">
        <is>
          <t>893445242</t>
        </is>
      </c>
    </row>
    <row r="61">
      <c r="A61" t="inlineStr">
        <is>
          <t>No</t>
        </is>
      </c>
      <c r="B61" t="inlineStr">
        <is>
          <t>PF3777 .K64 1981</t>
        </is>
      </c>
      <c r="C61" t="inlineStr">
        <is>
          <t>0                      PF 3777000K  64          1981</t>
        </is>
      </c>
      <c r="D61" t="inlineStr">
        <is>
          <t>Dtv-Atlas zur deutschen Sprache : Tafeln und Texte / Werner König ; Graphiker, Hans-Joachim Paul.</t>
        </is>
      </c>
      <c r="F61" t="inlineStr">
        <is>
          <t>No</t>
        </is>
      </c>
      <c r="G61" t="inlineStr">
        <is>
          <t>1</t>
        </is>
      </c>
      <c r="H61" t="inlineStr">
        <is>
          <t>No</t>
        </is>
      </c>
      <c r="I61" t="inlineStr">
        <is>
          <t>No</t>
        </is>
      </c>
      <c r="J61" t="inlineStr">
        <is>
          <t>0</t>
        </is>
      </c>
      <c r="K61" t="inlineStr">
        <is>
          <t>König, Werner, 1943-</t>
        </is>
      </c>
      <c r="L61" t="inlineStr">
        <is>
          <t>München : Deutscher Taschenbuch-Verlag, 1981, c1978.</t>
        </is>
      </c>
      <c r="M61" t="inlineStr">
        <is>
          <t>1981</t>
        </is>
      </c>
      <c r="N61" t="inlineStr">
        <is>
          <t>4. Aufl.</t>
        </is>
      </c>
      <c r="O61" t="inlineStr">
        <is>
          <t>ger</t>
        </is>
      </c>
      <c r="P61" t="inlineStr">
        <is>
          <t xml:space="preserve">gw </t>
        </is>
      </c>
      <c r="R61" t="inlineStr">
        <is>
          <t xml:space="preserve">PF </t>
        </is>
      </c>
      <c r="S61" t="n">
        <v>4</v>
      </c>
      <c r="T61" t="n">
        <v>4</v>
      </c>
      <c r="U61" t="inlineStr">
        <is>
          <t>2009-10-13</t>
        </is>
      </c>
      <c r="V61" t="inlineStr">
        <is>
          <t>2009-10-13</t>
        </is>
      </c>
      <c r="W61" t="inlineStr">
        <is>
          <t>1992-02-25</t>
        </is>
      </c>
      <c r="X61" t="inlineStr">
        <is>
          <t>1992-02-25</t>
        </is>
      </c>
      <c r="Y61" t="n">
        <v>21</v>
      </c>
      <c r="Z61" t="n">
        <v>11</v>
      </c>
      <c r="AA61" t="n">
        <v>88</v>
      </c>
      <c r="AB61" t="n">
        <v>1</v>
      </c>
      <c r="AC61" t="n">
        <v>3</v>
      </c>
      <c r="AD61" t="n">
        <v>0</v>
      </c>
      <c r="AE61" t="n">
        <v>8</v>
      </c>
      <c r="AF61" t="n">
        <v>0</v>
      </c>
      <c r="AG61" t="n">
        <v>3</v>
      </c>
      <c r="AH61" t="n">
        <v>0</v>
      </c>
      <c r="AI61" t="n">
        <v>3</v>
      </c>
      <c r="AJ61" t="n">
        <v>0</v>
      </c>
      <c r="AK61" t="n">
        <v>3</v>
      </c>
      <c r="AL61" t="n">
        <v>0</v>
      </c>
      <c r="AM61" t="n">
        <v>2</v>
      </c>
      <c r="AN61" t="n">
        <v>0</v>
      </c>
      <c r="AO61" t="n">
        <v>0</v>
      </c>
      <c r="AP61" t="inlineStr">
        <is>
          <t>No</t>
        </is>
      </c>
      <c r="AQ61" t="inlineStr">
        <is>
          <t>Yes</t>
        </is>
      </c>
      <c r="AR61">
        <f>HYPERLINK("http://catalog.hathitrust.org/Record/007019603","HathiTrust Record")</f>
        <v/>
      </c>
      <c r="AS61">
        <f>HYPERLINK("https://creighton-primo.hosted.exlibrisgroup.com/primo-explore/search?tab=default_tab&amp;search_scope=EVERYTHING&amp;vid=01CRU&amp;lang=en_US&amp;offset=0&amp;query=any,contains,991000059089702656","Catalog Record")</f>
        <v/>
      </c>
      <c r="AT61">
        <f>HYPERLINK("http://www.worldcat.org/oclc/8726045","WorldCat Record")</f>
        <v/>
      </c>
      <c r="AU61" t="inlineStr">
        <is>
          <t>197515367:ger</t>
        </is>
      </c>
      <c r="AV61" t="inlineStr">
        <is>
          <t>8726045</t>
        </is>
      </c>
      <c r="AW61" t="inlineStr">
        <is>
          <t>991000059089702656</t>
        </is>
      </c>
      <c r="AX61" t="inlineStr">
        <is>
          <t>991000059089702656</t>
        </is>
      </c>
      <c r="AY61" t="inlineStr">
        <is>
          <t>2270092480002656</t>
        </is>
      </c>
      <c r="AZ61" t="inlineStr">
        <is>
          <t>BOOK</t>
        </is>
      </c>
      <c r="BB61" t="inlineStr">
        <is>
          <t>9783423030250</t>
        </is>
      </c>
      <c r="BC61" t="inlineStr">
        <is>
          <t>32285000975945</t>
        </is>
      </c>
      <c r="BD61" t="inlineStr">
        <is>
          <t>893595231</t>
        </is>
      </c>
    </row>
    <row r="62">
      <c r="A62" t="inlineStr">
        <is>
          <t>No</t>
        </is>
      </c>
      <c r="B62" t="inlineStr">
        <is>
          <t>PF5011 .N6 1983</t>
        </is>
      </c>
      <c r="C62" t="inlineStr">
        <is>
          <t>0                      PF 5011000N  6           1983</t>
        </is>
      </c>
      <c r="D62" t="inlineStr">
        <is>
          <t>Modern German dialects / C.A.M. Noble.</t>
        </is>
      </c>
      <c r="F62" t="inlineStr">
        <is>
          <t>No</t>
        </is>
      </c>
      <c r="G62" t="inlineStr">
        <is>
          <t>1</t>
        </is>
      </c>
      <c r="H62" t="inlineStr">
        <is>
          <t>No</t>
        </is>
      </c>
      <c r="I62" t="inlineStr">
        <is>
          <t>No</t>
        </is>
      </c>
      <c r="J62" t="inlineStr">
        <is>
          <t>0</t>
        </is>
      </c>
      <c r="K62" t="inlineStr">
        <is>
          <t>Noble, C. A. M. (Cecil Arthur M.), 1941-</t>
        </is>
      </c>
      <c r="L62" t="inlineStr">
        <is>
          <t>New York : P. Lang, c1983.</t>
        </is>
      </c>
      <c r="M62" t="inlineStr">
        <is>
          <t>1983</t>
        </is>
      </c>
      <c r="O62" t="inlineStr">
        <is>
          <t>eng</t>
        </is>
      </c>
      <c r="P62" t="inlineStr">
        <is>
          <t>nyu</t>
        </is>
      </c>
      <c r="Q62" t="inlineStr">
        <is>
          <t>American university studies. Series I, Germanic languages and literatures ; v. 15</t>
        </is>
      </c>
      <c r="R62" t="inlineStr">
        <is>
          <t xml:space="preserve">PF </t>
        </is>
      </c>
      <c r="S62" t="n">
        <v>1</v>
      </c>
      <c r="T62" t="n">
        <v>1</v>
      </c>
      <c r="U62" t="inlineStr">
        <is>
          <t>1993-12-09</t>
        </is>
      </c>
      <c r="V62" t="inlineStr">
        <is>
          <t>1993-12-09</t>
        </is>
      </c>
      <c r="W62" t="inlineStr">
        <is>
          <t>1993-04-27</t>
        </is>
      </c>
      <c r="X62" t="inlineStr">
        <is>
          <t>1993-04-27</t>
        </is>
      </c>
      <c r="Y62" t="n">
        <v>148</v>
      </c>
      <c r="Z62" t="n">
        <v>108</v>
      </c>
      <c r="AA62" t="n">
        <v>139</v>
      </c>
      <c r="AB62" t="n">
        <v>3</v>
      </c>
      <c r="AC62" t="n">
        <v>3</v>
      </c>
      <c r="AD62" t="n">
        <v>3</v>
      </c>
      <c r="AE62" t="n">
        <v>4</v>
      </c>
      <c r="AF62" t="n">
        <v>1</v>
      </c>
      <c r="AG62" t="n">
        <v>1</v>
      </c>
      <c r="AH62" t="n">
        <v>0</v>
      </c>
      <c r="AI62" t="n">
        <v>1</v>
      </c>
      <c r="AJ62" t="n">
        <v>0</v>
      </c>
      <c r="AK62" t="n">
        <v>1</v>
      </c>
      <c r="AL62" t="n">
        <v>2</v>
      </c>
      <c r="AM62" t="n">
        <v>2</v>
      </c>
      <c r="AN62" t="n">
        <v>0</v>
      </c>
      <c r="AO62" t="n">
        <v>0</v>
      </c>
      <c r="AP62" t="inlineStr">
        <is>
          <t>No</t>
        </is>
      </c>
      <c r="AQ62" t="inlineStr">
        <is>
          <t>No</t>
        </is>
      </c>
      <c r="AS62">
        <f>HYPERLINK("https://creighton-primo.hosted.exlibrisgroup.com/primo-explore/search?tab=default_tab&amp;search_scope=EVERYTHING&amp;vid=01CRU&amp;lang=en_US&amp;offset=0&amp;query=any,contains,991000270549702656","Catalog Record")</f>
        <v/>
      </c>
      <c r="AT62">
        <f>HYPERLINK("http://www.worldcat.org/oclc/9853965","WorldCat Record")</f>
        <v/>
      </c>
      <c r="AU62" t="inlineStr">
        <is>
          <t>3555870:eng</t>
        </is>
      </c>
      <c r="AV62" t="inlineStr">
        <is>
          <t>9853965</t>
        </is>
      </c>
      <c r="AW62" t="inlineStr">
        <is>
          <t>991000270549702656</t>
        </is>
      </c>
      <c r="AX62" t="inlineStr">
        <is>
          <t>991000270549702656</t>
        </is>
      </c>
      <c r="AY62" t="inlineStr">
        <is>
          <t>2261801030002656</t>
        </is>
      </c>
      <c r="AZ62" t="inlineStr">
        <is>
          <t>BOOK</t>
        </is>
      </c>
      <c r="BB62" t="inlineStr">
        <is>
          <t>9780820400259</t>
        </is>
      </c>
      <c r="BC62" t="inlineStr">
        <is>
          <t>32285001648475</t>
        </is>
      </c>
      <c r="BD62" t="inlineStr">
        <is>
          <t>893589312</t>
        </is>
      </c>
    </row>
    <row r="63">
      <c r="A63" t="inlineStr">
        <is>
          <t>No</t>
        </is>
      </c>
      <c r="B63" t="inlineStr">
        <is>
          <t>PF5131 .W9513 1998</t>
        </is>
      </c>
      <c r="C63" t="inlineStr">
        <is>
          <t>0                      PF 5131000W  9513        1998</t>
        </is>
      </c>
      <c r="D63" t="inlineStr">
        <is>
          <t>Dialect and High German in German-speaking Switzerland / Beat Siebenhaar and Alfred Wyler.</t>
        </is>
      </c>
      <c r="F63" t="inlineStr">
        <is>
          <t>No</t>
        </is>
      </c>
      <c r="G63" t="inlineStr">
        <is>
          <t>1</t>
        </is>
      </c>
      <c r="H63" t="inlineStr">
        <is>
          <t>No</t>
        </is>
      </c>
      <c r="I63" t="inlineStr">
        <is>
          <t>No</t>
        </is>
      </c>
      <c r="J63" t="inlineStr">
        <is>
          <t>0</t>
        </is>
      </c>
      <c r="K63" t="inlineStr">
        <is>
          <t>Siebenhaar, Beat.</t>
        </is>
      </c>
      <c r="L63" t="inlineStr">
        <is>
          <t>Zürich : Pro Helvetia, 1998.</t>
        </is>
      </c>
      <c r="M63" t="inlineStr">
        <is>
          <t>1998</t>
        </is>
      </c>
      <c r="N63" t="inlineStr">
        <is>
          <t>Rev. ed.</t>
        </is>
      </c>
      <c r="O63" t="inlineStr">
        <is>
          <t>eng</t>
        </is>
      </c>
      <c r="P63" t="inlineStr">
        <is>
          <t xml:space="preserve">sz </t>
        </is>
      </c>
      <c r="Q63" t="inlineStr">
        <is>
          <t>Pro Helvetia brochures</t>
        </is>
      </c>
      <c r="R63" t="inlineStr">
        <is>
          <t xml:space="preserve">PF </t>
        </is>
      </c>
      <c r="S63" t="n">
        <v>1</v>
      </c>
      <c r="T63" t="n">
        <v>1</v>
      </c>
      <c r="U63" t="inlineStr">
        <is>
          <t>2008-12-03</t>
        </is>
      </c>
      <c r="V63" t="inlineStr">
        <is>
          <t>2008-12-03</t>
        </is>
      </c>
      <c r="W63" t="inlineStr">
        <is>
          <t>2008-12-03</t>
        </is>
      </c>
      <c r="X63" t="inlineStr">
        <is>
          <t>2008-12-03</t>
        </is>
      </c>
      <c r="Y63" t="n">
        <v>26</v>
      </c>
      <c r="Z63" t="n">
        <v>18</v>
      </c>
      <c r="AA63" t="n">
        <v>50</v>
      </c>
      <c r="AB63" t="n">
        <v>1</v>
      </c>
      <c r="AC63" t="n">
        <v>1</v>
      </c>
      <c r="AD63" t="n">
        <v>1</v>
      </c>
      <c r="AE63" t="n">
        <v>4</v>
      </c>
      <c r="AF63" t="n">
        <v>1</v>
      </c>
      <c r="AG63" t="n">
        <v>3</v>
      </c>
      <c r="AH63" t="n">
        <v>1</v>
      </c>
      <c r="AI63" t="n">
        <v>1</v>
      </c>
      <c r="AJ63" t="n">
        <v>0</v>
      </c>
      <c r="AK63" t="n">
        <v>2</v>
      </c>
      <c r="AL63" t="n">
        <v>0</v>
      </c>
      <c r="AM63" t="n">
        <v>0</v>
      </c>
      <c r="AN63" t="n">
        <v>0</v>
      </c>
      <c r="AO63" t="n">
        <v>0</v>
      </c>
      <c r="AP63" t="inlineStr">
        <is>
          <t>No</t>
        </is>
      </c>
      <c r="AQ63" t="inlineStr">
        <is>
          <t>Yes</t>
        </is>
      </c>
      <c r="AR63">
        <f>HYPERLINK("http://catalog.hathitrust.org/Record/010622237","HathiTrust Record")</f>
        <v/>
      </c>
      <c r="AS63">
        <f>HYPERLINK("https://creighton-primo.hosted.exlibrisgroup.com/primo-explore/search?tab=default_tab&amp;search_scope=EVERYTHING&amp;vid=01CRU&amp;lang=en_US&amp;offset=0&amp;query=any,contains,991005279819702656","Catalog Record")</f>
        <v/>
      </c>
      <c r="AT63">
        <f>HYPERLINK("http://www.worldcat.org/oclc/44180880","WorldCat Record")</f>
        <v/>
      </c>
      <c r="AU63" t="inlineStr">
        <is>
          <t>2864095456:eng</t>
        </is>
      </c>
      <c r="AV63" t="inlineStr">
        <is>
          <t>44180880</t>
        </is>
      </c>
      <c r="AW63" t="inlineStr">
        <is>
          <t>991005279819702656</t>
        </is>
      </c>
      <c r="AX63" t="inlineStr">
        <is>
          <t>991005279819702656</t>
        </is>
      </c>
      <c r="AY63" t="inlineStr">
        <is>
          <t>2271565190002656</t>
        </is>
      </c>
      <c r="AZ63" t="inlineStr">
        <is>
          <t>BOOK</t>
        </is>
      </c>
      <c r="BB63" t="inlineStr">
        <is>
          <t>9783908102632</t>
        </is>
      </c>
      <c r="BC63" t="inlineStr">
        <is>
          <t>32285005469928</t>
        </is>
      </c>
      <c r="BD63" t="inlineStr">
        <is>
          <t>893501629</t>
        </is>
      </c>
    </row>
    <row r="64">
      <c r="A64" t="inlineStr">
        <is>
          <t>No</t>
        </is>
      </c>
      <c r="B64" t="inlineStr">
        <is>
          <t>PF5370 .S3</t>
        </is>
      </c>
      <c r="C64" t="inlineStr">
        <is>
          <t>0                      PF 5370000S  3</t>
        </is>
      </c>
      <c r="D64" t="inlineStr">
        <is>
          <t>Wege und Formen des Sprachausgleichs in neuzeitlichen ost- und südostdeutschen Sprachinseln.</t>
        </is>
      </c>
      <c r="F64" t="inlineStr">
        <is>
          <t>No</t>
        </is>
      </c>
      <c r="G64" t="inlineStr">
        <is>
          <t>1</t>
        </is>
      </c>
      <c r="H64" t="inlineStr">
        <is>
          <t>No</t>
        </is>
      </c>
      <c r="I64" t="inlineStr">
        <is>
          <t>No</t>
        </is>
      </c>
      <c r="J64" t="inlineStr">
        <is>
          <t>0</t>
        </is>
      </c>
      <c r="K64" t="inlineStr">
        <is>
          <t>Schwob, Anton.</t>
        </is>
      </c>
      <c r="L64" t="inlineStr">
        <is>
          <t>München, R. Oldenbourg, 1971.</t>
        </is>
      </c>
      <c r="M64" t="inlineStr">
        <is>
          <t>1971</t>
        </is>
      </c>
      <c r="O64" t="inlineStr">
        <is>
          <t>ger</t>
        </is>
      </c>
      <c r="P64" t="inlineStr">
        <is>
          <t>___</t>
        </is>
      </c>
      <c r="Q64" t="inlineStr">
        <is>
          <t>Buchreihe der Südostdeutschen Historischen Kommission ; Bd. 25</t>
        </is>
      </c>
      <c r="R64" t="inlineStr">
        <is>
          <t xml:space="preserve">PF </t>
        </is>
      </c>
      <c r="S64" t="n">
        <v>2</v>
      </c>
      <c r="T64" t="n">
        <v>2</v>
      </c>
      <c r="U64" t="inlineStr">
        <is>
          <t>1993-05-03</t>
        </is>
      </c>
      <c r="V64" t="inlineStr">
        <is>
          <t>1993-05-03</t>
        </is>
      </c>
      <c r="W64" t="inlineStr">
        <is>
          <t>1993-04-27</t>
        </is>
      </c>
      <c r="X64" t="inlineStr">
        <is>
          <t>1993-04-27</t>
        </is>
      </c>
      <c r="Y64" t="n">
        <v>107</v>
      </c>
      <c r="Z64" t="n">
        <v>56</v>
      </c>
      <c r="AA64" t="n">
        <v>58</v>
      </c>
      <c r="AB64" t="n">
        <v>2</v>
      </c>
      <c r="AC64" t="n">
        <v>2</v>
      </c>
      <c r="AD64" t="n">
        <v>2</v>
      </c>
      <c r="AE64" t="n">
        <v>2</v>
      </c>
      <c r="AF64" t="n">
        <v>0</v>
      </c>
      <c r="AG64" t="n">
        <v>0</v>
      </c>
      <c r="AH64" t="n">
        <v>1</v>
      </c>
      <c r="AI64" t="n">
        <v>1</v>
      </c>
      <c r="AJ64" t="n">
        <v>1</v>
      </c>
      <c r="AK64" t="n">
        <v>1</v>
      </c>
      <c r="AL64" t="n">
        <v>1</v>
      </c>
      <c r="AM64" t="n">
        <v>1</v>
      </c>
      <c r="AN64" t="n">
        <v>0</v>
      </c>
      <c r="AO64" t="n">
        <v>0</v>
      </c>
      <c r="AP64" t="inlineStr">
        <is>
          <t>No</t>
        </is>
      </c>
      <c r="AQ64" t="inlineStr">
        <is>
          <t>Yes</t>
        </is>
      </c>
      <c r="AR64">
        <f>HYPERLINK("http://catalog.hathitrust.org/Record/001679756","HathiTrust Record")</f>
        <v/>
      </c>
      <c r="AS64">
        <f>HYPERLINK("https://creighton-primo.hosted.exlibrisgroup.com/primo-explore/search?tab=default_tab&amp;search_scope=EVERYTHING&amp;vid=01CRU&amp;lang=en_US&amp;offset=0&amp;query=any,contains,991003244849702656","Catalog Record")</f>
        <v/>
      </c>
      <c r="AT64">
        <f>HYPERLINK("http://www.worldcat.org/oclc/767899","WorldCat Record")</f>
        <v/>
      </c>
      <c r="AU64" t="inlineStr">
        <is>
          <t>1664311:ger</t>
        </is>
      </c>
      <c r="AV64" t="inlineStr">
        <is>
          <t>767899</t>
        </is>
      </c>
      <c r="AW64" t="inlineStr">
        <is>
          <t>991003244849702656</t>
        </is>
      </c>
      <c r="AX64" t="inlineStr">
        <is>
          <t>991003244849702656</t>
        </is>
      </c>
      <c r="AY64" t="inlineStr">
        <is>
          <t>2269400830002656</t>
        </is>
      </c>
      <c r="AZ64" t="inlineStr">
        <is>
          <t>BOOK</t>
        </is>
      </c>
      <c r="BC64" t="inlineStr">
        <is>
          <t>32285001648509</t>
        </is>
      </c>
      <c r="BD64" t="inlineStr">
        <is>
          <t>893352739</t>
        </is>
      </c>
    </row>
    <row r="65">
      <c r="A65" t="inlineStr">
        <is>
          <t>No</t>
        </is>
      </c>
      <c r="B65" t="inlineStr">
        <is>
          <t>PF5431 .K28 1990</t>
        </is>
      </c>
      <c r="C65" t="inlineStr">
        <is>
          <t>0                      PF 5431000K  28          1990</t>
        </is>
      </c>
      <c r="D65" t="inlineStr">
        <is>
          <t>Zur Morphologie im Pfälzischen : Dialekt, Umgangssprache, Standardsprache / Dieter Karch.</t>
        </is>
      </c>
      <c r="F65" t="inlineStr">
        <is>
          <t>No</t>
        </is>
      </c>
      <c r="G65" t="inlineStr">
        <is>
          <t>1</t>
        </is>
      </c>
      <c r="H65" t="inlineStr">
        <is>
          <t>No</t>
        </is>
      </c>
      <c r="I65" t="inlineStr">
        <is>
          <t>No</t>
        </is>
      </c>
      <c r="J65" t="inlineStr">
        <is>
          <t>0</t>
        </is>
      </c>
      <c r="K65" t="inlineStr">
        <is>
          <t>Karch, Dieter.</t>
        </is>
      </c>
      <c r="L65" t="inlineStr">
        <is>
          <t>Tübingen : M. Niemeyer, 1990.</t>
        </is>
      </c>
      <c r="M65" t="inlineStr">
        <is>
          <t>1990</t>
        </is>
      </c>
      <c r="O65" t="inlineStr">
        <is>
          <t>ger</t>
        </is>
      </c>
      <c r="P65" t="inlineStr">
        <is>
          <t xml:space="preserve">gw </t>
        </is>
      </c>
      <c r="Q65" t="inlineStr">
        <is>
          <t>Phonai. Lautbibliothek der deutschen Sprache. Beiheft ; 6 :</t>
        </is>
      </c>
      <c r="R65" t="inlineStr">
        <is>
          <t xml:space="preserve">PF </t>
        </is>
      </c>
      <c r="S65" t="n">
        <v>0</v>
      </c>
      <c r="T65" t="n">
        <v>0</v>
      </c>
      <c r="U65" t="inlineStr">
        <is>
          <t>2006-09-22</t>
        </is>
      </c>
      <c r="V65" t="inlineStr">
        <is>
          <t>2006-09-22</t>
        </is>
      </c>
      <c r="W65" t="inlineStr">
        <is>
          <t>1991-07-30</t>
        </is>
      </c>
      <c r="X65" t="inlineStr">
        <is>
          <t>1991-07-30</t>
        </is>
      </c>
      <c r="Y65" t="n">
        <v>74</v>
      </c>
      <c r="Z65" t="n">
        <v>37</v>
      </c>
      <c r="AA65" t="n">
        <v>38</v>
      </c>
      <c r="AB65" t="n">
        <v>2</v>
      </c>
      <c r="AC65" t="n">
        <v>2</v>
      </c>
      <c r="AD65" t="n">
        <v>2</v>
      </c>
      <c r="AE65" t="n">
        <v>2</v>
      </c>
      <c r="AF65" t="n">
        <v>0</v>
      </c>
      <c r="AG65" t="n">
        <v>0</v>
      </c>
      <c r="AH65" t="n">
        <v>1</v>
      </c>
      <c r="AI65" t="n">
        <v>1</v>
      </c>
      <c r="AJ65" t="n">
        <v>1</v>
      </c>
      <c r="AK65" t="n">
        <v>1</v>
      </c>
      <c r="AL65" t="n">
        <v>1</v>
      </c>
      <c r="AM65" t="n">
        <v>1</v>
      </c>
      <c r="AN65" t="n">
        <v>0</v>
      </c>
      <c r="AO65" t="n">
        <v>0</v>
      </c>
      <c r="AP65" t="inlineStr">
        <is>
          <t>No</t>
        </is>
      </c>
      <c r="AQ65" t="inlineStr">
        <is>
          <t>Yes</t>
        </is>
      </c>
      <c r="AR65">
        <f>HYPERLINK("http://catalog.hathitrust.org/Record/002187680","HathiTrust Record")</f>
        <v/>
      </c>
      <c r="AS65">
        <f>HYPERLINK("https://creighton-primo.hosted.exlibrisgroup.com/primo-explore/search?tab=default_tab&amp;search_scope=EVERYTHING&amp;vid=01CRU&amp;lang=en_US&amp;offset=0&amp;query=any,contains,991001789719702656","Catalog Record")</f>
        <v/>
      </c>
      <c r="AT65">
        <f>HYPERLINK("http://www.worldcat.org/oclc/22539322","WorldCat Record")</f>
        <v/>
      </c>
      <c r="AU65" t="inlineStr">
        <is>
          <t>889437480:ger</t>
        </is>
      </c>
      <c r="AV65" t="inlineStr">
        <is>
          <t>22539322</t>
        </is>
      </c>
      <c r="AW65" t="inlineStr">
        <is>
          <t>991001789719702656</t>
        </is>
      </c>
      <c r="AX65" t="inlineStr">
        <is>
          <t>991001789719702656</t>
        </is>
      </c>
      <c r="AY65" t="inlineStr">
        <is>
          <t>2265906220002656</t>
        </is>
      </c>
      <c r="AZ65" t="inlineStr">
        <is>
          <t>BOOK</t>
        </is>
      </c>
      <c r="BB65" t="inlineStr">
        <is>
          <t>9783484230309</t>
        </is>
      </c>
      <c r="BC65" t="inlineStr">
        <is>
          <t>32285000663293</t>
        </is>
      </c>
      <c r="BD65" t="inlineStr">
        <is>
          <t>893433142</t>
        </is>
      </c>
    </row>
    <row r="66">
      <c r="A66" t="inlineStr">
        <is>
          <t>No</t>
        </is>
      </c>
      <c r="B66" t="inlineStr">
        <is>
          <t>PF5861 .J35 1987</t>
        </is>
      </c>
      <c r="C66" t="inlineStr">
        <is>
          <t>0                      PF 5861000J  35          1987</t>
        </is>
      </c>
      <c r="D66" t="inlineStr">
        <is>
          <t>Deutschsprachige Gruppen am Rande und ausserhalb des geschlossenen deutschen Sprachgebiets : eine bibliographische Dokumentation von Literatur zum Thema "Sprache" aus der Zeit nach 1945 : (Stand Mai 1987) / Gerhard Jakob ; [herausgegeben vom Institut für Deutsche Sprache].</t>
        </is>
      </c>
      <c r="F66" t="inlineStr">
        <is>
          <t>No</t>
        </is>
      </c>
      <c r="G66" t="inlineStr">
        <is>
          <t>1</t>
        </is>
      </c>
      <c r="H66" t="inlineStr">
        <is>
          <t>No</t>
        </is>
      </c>
      <c r="I66" t="inlineStr">
        <is>
          <t>No</t>
        </is>
      </c>
      <c r="J66" t="inlineStr">
        <is>
          <t>0</t>
        </is>
      </c>
      <c r="K66" t="inlineStr">
        <is>
          <t>Jakob, Gerhard.</t>
        </is>
      </c>
      <c r="L66" t="inlineStr">
        <is>
          <t>Mannheim : Institut für Deutsche Sprache, c1987.</t>
        </is>
      </c>
      <c r="M66" t="inlineStr">
        <is>
          <t>1987</t>
        </is>
      </c>
      <c r="O66" t="inlineStr">
        <is>
          <t>ger</t>
        </is>
      </c>
      <c r="P66" t="inlineStr">
        <is>
          <t xml:space="preserve">gw </t>
        </is>
      </c>
      <c r="R66" t="inlineStr">
        <is>
          <t xml:space="preserve">PF </t>
        </is>
      </c>
      <c r="S66" t="n">
        <v>2</v>
      </c>
      <c r="T66" t="n">
        <v>2</v>
      </c>
      <c r="U66" t="inlineStr">
        <is>
          <t>1993-05-03</t>
        </is>
      </c>
      <c r="V66" t="inlineStr">
        <is>
          <t>1993-05-03</t>
        </is>
      </c>
      <c r="W66" t="inlineStr">
        <is>
          <t>1993-04-27</t>
        </is>
      </c>
      <c r="X66" t="inlineStr">
        <is>
          <t>1993-04-27</t>
        </is>
      </c>
      <c r="Y66" t="n">
        <v>41</v>
      </c>
      <c r="Z66" t="n">
        <v>28</v>
      </c>
      <c r="AA66" t="n">
        <v>43</v>
      </c>
      <c r="AB66" t="n">
        <v>2</v>
      </c>
      <c r="AC66" t="n">
        <v>2</v>
      </c>
      <c r="AD66" t="n">
        <v>2</v>
      </c>
      <c r="AE66" t="n">
        <v>2</v>
      </c>
      <c r="AF66" t="n">
        <v>0</v>
      </c>
      <c r="AG66" t="n">
        <v>0</v>
      </c>
      <c r="AH66" t="n">
        <v>1</v>
      </c>
      <c r="AI66" t="n">
        <v>1</v>
      </c>
      <c r="AJ66" t="n">
        <v>1</v>
      </c>
      <c r="AK66" t="n">
        <v>1</v>
      </c>
      <c r="AL66" t="n">
        <v>1</v>
      </c>
      <c r="AM66" t="n">
        <v>1</v>
      </c>
      <c r="AN66" t="n">
        <v>0</v>
      </c>
      <c r="AO66" t="n">
        <v>0</v>
      </c>
      <c r="AP66" t="inlineStr">
        <is>
          <t>No</t>
        </is>
      </c>
      <c r="AQ66" t="inlineStr">
        <is>
          <t>No</t>
        </is>
      </c>
      <c r="AS66">
        <f>HYPERLINK("https://creighton-primo.hosted.exlibrisgroup.com/primo-explore/search?tab=default_tab&amp;search_scope=EVERYTHING&amp;vid=01CRU&amp;lang=en_US&amp;offset=0&amp;query=any,contains,991001456099702656","Catalog Record")</f>
        <v/>
      </c>
      <c r="AT66">
        <f>HYPERLINK("http://www.worldcat.org/oclc/19363360","WorldCat Record")</f>
        <v/>
      </c>
      <c r="AU66" t="inlineStr">
        <is>
          <t>24258146:ger</t>
        </is>
      </c>
      <c r="AV66" t="inlineStr">
        <is>
          <t>19363360</t>
        </is>
      </c>
      <c r="AW66" t="inlineStr">
        <is>
          <t>991001456099702656</t>
        </is>
      </c>
      <c r="AX66" t="inlineStr">
        <is>
          <t>991001456099702656</t>
        </is>
      </c>
      <c r="AY66" t="inlineStr">
        <is>
          <t>2267269840002656</t>
        </is>
      </c>
      <c r="AZ66" t="inlineStr">
        <is>
          <t>BOOK</t>
        </is>
      </c>
      <c r="BB66" t="inlineStr">
        <is>
          <t>9783922641339</t>
        </is>
      </c>
      <c r="BC66" t="inlineStr">
        <is>
          <t>32285001648525</t>
        </is>
      </c>
      <c r="BD66" t="inlineStr">
        <is>
          <t>893872542</t>
        </is>
      </c>
    </row>
    <row r="67">
      <c r="A67" t="inlineStr">
        <is>
          <t>No</t>
        </is>
      </c>
      <c r="B67" t="inlineStr">
        <is>
          <t>PF5925 .D4</t>
        </is>
      </c>
      <c r="C67" t="inlineStr">
        <is>
          <t>0                      PF 5925000D  4</t>
        </is>
      </c>
      <c r="D67" t="inlineStr">
        <is>
          <t>Deutsch als Muttersprache in den Vereinigten Staaten.</t>
        </is>
      </c>
      <c r="E67" t="inlineStr">
        <is>
          <t>V. 1</t>
        </is>
      </c>
      <c r="F67" t="inlineStr">
        <is>
          <t>Yes</t>
        </is>
      </c>
      <c r="G67" t="inlineStr">
        <is>
          <t>1</t>
        </is>
      </c>
      <c r="H67" t="inlineStr">
        <is>
          <t>No</t>
        </is>
      </c>
      <c r="I67" t="inlineStr">
        <is>
          <t>No</t>
        </is>
      </c>
      <c r="J67" t="inlineStr">
        <is>
          <t>0</t>
        </is>
      </c>
      <c r="L67" t="inlineStr">
        <is>
          <t>Wiesbaden : Steiner, 1979-</t>
        </is>
      </c>
      <c r="M67" t="inlineStr">
        <is>
          <t>1979</t>
        </is>
      </c>
      <c r="O67" t="inlineStr">
        <is>
          <t>ger</t>
        </is>
      </c>
      <c r="P67" t="inlineStr">
        <is>
          <t xml:space="preserve">gw </t>
        </is>
      </c>
      <c r="Q67" t="inlineStr">
        <is>
          <t>Deutsche Sprache in Europa und Übersee ; Bd. 4</t>
        </is>
      </c>
      <c r="R67" t="inlineStr">
        <is>
          <t xml:space="preserve">PF </t>
        </is>
      </c>
      <c r="S67" t="n">
        <v>2</v>
      </c>
      <c r="T67" t="n">
        <v>5</v>
      </c>
      <c r="U67" t="inlineStr">
        <is>
          <t>1993-05-03</t>
        </is>
      </c>
      <c r="V67" t="inlineStr">
        <is>
          <t>2003-03-31</t>
        </is>
      </c>
      <c r="W67" t="inlineStr">
        <is>
          <t>1993-04-27</t>
        </is>
      </c>
      <c r="X67" t="inlineStr">
        <is>
          <t>2003-03-31</t>
        </is>
      </c>
      <c r="Y67" t="n">
        <v>158</v>
      </c>
      <c r="Z67" t="n">
        <v>115</v>
      </c>
      <c r="AA67" t="n">
        <v>118</v>
      </c>
      <c r="AB67" t="n">
        <v>2</v>
      </c>
      <c r="AC67" t="n">
        <v>2</v>
      </c>
      <c r="AD67" t="n">
        <v>4</v>
      </c>
      <c r="AE67" t="n">
        <v>4</v>
      </c>
      <c r="AF67" t="n">
        <v>1</v>
      </c>
      <c r="AG67" t="n">
        <v>1</v>
      </c>
      <c r="AH67" t="n">
        <v>2</v>
      </c>
      <c r="AI67" t="n">
        <v>2</v>
      </c>
      <c r="AJ67" t="n">
        <v>1</v>
      </c>
      <c r="AK67" t="n">
        <v>1</v>
      </c>
      <c r="AL67" t="n">
        <v>1</v>
      </c>
      <c r="AM67" t="n">
        <v>1</v>
      </c>
      <c r="AN67" t="n">
        <v>0</v>
      </c>
      <c r="AO67" t="n">
        <v>0</v>
      </c>
      <c r="AP67" t="inlineStr">
        <is>
          <t>No</t>
        </is>
      </c>
      <c r="AQ67" t="inlineStr">
        <is>
          <t>Yes</t>
        </is>
      </c>
      <c r="AR67">
        <f>HYPERLINK("http://catalog.hathitrust.org/Record/004422480","HathiTrust Record")</f>
        <v/>
      </c>
      <c r="AS67">
        <f>HYPERLINK("https://creighton-primo.hosted.exlibrisgroup.com/primo-explore/search?tab=default_tab&amp;search_scope=EVERYTHING&amp;vid=01CRU&amp;lang=en_US&amp;offset=0&amp;query=any,contains,991004753779702656","Catalog Record")</f>
        <v/>
      </c>
      <c r="AT67">
        <f>HYPERLINK("http://www.worldcat.org/oclc/4955250","WorldCat Record")</f>
        <v/>
      </c>
      <c r="AU67" t="inlineStr">
        <is>
          <t>3134564378:ger</t>
        </is>
      </c>
      <c r="AV67" t="inlineStr">
        <is>
          <t>4955250</t>
        </is>
      </c>
      <c r="AW67" t="inlineStr">
        <is>
          <t>991004753779702656</t>
        </is>
      </c>
      <c r="AX67" t="inlineStr">
        <is>
          <t>991004753779702656</t>
        </is>
      </c>
      <c r="AY67" t="inlineStr">
        <is>
          <t>2270452760002656</t>
        </is>
      </c>
      <c r="AZ67" t="inlineStr">
        <is>
          <t>BOOK</t>
        </is>
      </c>
      <c r="BB67" t="inlineStr">
        <is>
          <t>9783515026345</t>
        </is>
      </c>
      <c r="BC67" t="inlineStr">
        <is>
          <t>32285001648533</t>
        </is>
      </c>
      <c r="BD67" t="inlineStr">
        <is>
          <t>893443010</t>
        </is>
      </c>
    </row>
    <row r="68">
      <c r="A68" t="inlineStr">
        <is>
          <t>No</t>
        </is>
      </c>
      <c r="B68" t="inlineStr">
        <is>
          <t>PF5925 .D4</t>
        </is>
      </c>
      <c r="C68" t="inlineStr">
        <is>
          <t>0                      PF 5925000D  4</t>
        </is>
      </c>
      <c r="D68" t="inlineStr">
        <is>
          <t>Deutsch als Muttersprache in den Vereinigten Staaten.</t>
        </is>
      </c>
      <c r="E68" t="inlineStr">
        <is>
          <t>V. 3</t>
        </is>
      </c>
      <c r="F68" t="inlineStr">
        <is>
          <t>Yes</t>
        </is>
      </c>
      <c r="G68" t="inlineStr">
        <is>
          <t>1</t>
        </is>
      </c>
      <c r="H68" t="inlineStr">
        <is>
          <t>No</t>
        </is>
      </c>
      <c r="I68" t="inlineStr">
        <is>
          <t>No</t>
        </is>
      </c>
      <c r="J68" t="inlineStr">
        <is>
          <t>0</t>
        </is>
      </c>
      <c r="L68" t="inlineStr">
        <is>
          <t>Wiesbaden : Steiner, 1979-</t>
        </is>
      </c>
      <c r="M68" t="inlineStr">
        <is>
          <t>1979</t>
        </is>
      </c>
      <c r="O68" t="inlineStr">
        <is>
          <t>ger</t>
        </is>
      </c>
      <c r="P68" t="inlineStr">
        <is>
          <t xml:space="preserve">gw </t>
        </is>
      </c>
      <c r="Q68" t="inlineStr">
        <is>
          <t>Deutsche Sprache in Europa und Übersee ; Bd. 4</t>
        </is>
      </c>
      <c r="R68" t="inlineStr">
        <is>
          <t xml:space="preserve">PF </t>
        </is>
      </c>
      <c r="S68" t="n">
        <v>1</v>
      </c>
      <c r="T68" t="n">
        <v>5</v>
      </c>
      <c r="U68" t="inlineStr">
        <is>
          <t>2003-03-31</t>
        </is>
      </c>
      <c r="V68" t="inlineStr">
        <is>
          <t>2003-03-31</t>
        </is>
      </c>
      <c r="W68" t="inlineStr">
        <is>
          <t>2003-03-31</t>
        </is>
      </c>
      <c r="X68" t="inlineStr">
        <is>
          <t>2003-03-31</t>
        </is>
      </c>
      <c r="Y68" t="n">
        <v>158</v>
      </c>
      <c r="Z68" t="n">
        <v>115</v>
      </c>
      <c r="AA68" t="n">
        <v>118</v>
      </c>
      <c r="AB68" t="n">
        <v>2</v>
      </c>
      <c r="AC68" t="n">
        <v>2</v>
      </c>
      <c r="AD68" t="n">
        <v>4</v>
      </c>
      <c r="AE68" t="n">
        <v>4</v>
      </c>
      <c r="AF68" t="n">
        <v>1</v>
      </c>
      <c r="AG68" t="n">
        <v>1</v>
      </c>
      <c r="AH68" t="n">
        <v>2</v>
      </c>
      <c r="AI68" t="n">
        <v>2</v>
      </c>
      <c r="AJ68" t="n">
        <v>1</v>
      </c>
      <c r="AK68" t="n">
        <v>1</v>
      </c>
      <c r="AL68" t="n">
        <v>1</v>
      </c>
      <c r="AM68" t="n">
        <v>1</v>
      </c>
      <c r="AN68" t="n">
        <v>0</v>
      </c>
      <c r="AO68" t="n">
        <v>0</v>
      </c>
      <c r="AP68" t="inlineStr">
        <is>
          <t>No</t>
        </is>
      </c>
      <c r="AQ68" t="inlineStr">
        <is>
          <t>Yes</t>
        </is>
      </c>
      <c r="AR68">
        <f>HYPERLINK("http://catalog.hathitrust.org/Record/004422480","HathiTrust Record")</f>
        <v/>
      </c>
      <c r="AS68">
        <f>HYPERLINK("https://creighton-primo.hosted.exlibrisgroup.com/primo-explore/search?tab=default_tab&amp;search_scope=EVERYTHING&amp;vid=01CRU&amp;lang=en_US&amp;offset=0&amp;query=any,contains,991004753779702656","Catalog Record")</f>
        <v/>
      </c>
      <c r="AT68">
        <f>HYPERLINK("http://www.worldcat.org/oclc/4955250","WorldCat Record")</f>
        <v/>
      </c>
      <c r="AU68" t="inlineStr">
        <is>
          <t>3134564378:ger</t>
        </is>
      </c>
      <c r="AV68" t="inlineStr">
        <is>
          <t>4955250</t>
        </is>
      </c>
      <c r="AW68" t="inlineStr">
        <is>
          <t>991004753779702656</t>
        </is>
      </c>
      <c r="AX68" t="inlineStr">
        <is>
          <t>991004753779702656</t>
        </is>
      </c>
      <c r="AY68" t="inlineStr">
        <is>
          <t>2270452760002656</t>
        </is>
      </c>
      <c r="AZ68" t="inlineStr">
        <is>
          <t>BOOK</t>
        </is>
      </c>
      <c r="BB68" t="inlineStr">
        <is>
          <t>9783515026345</t>
        </is>
      </c>
      <c r="BC68" t="inlineStr">
        <is>
          <t>32285004688064</t>
        </is>
      </c>
      <c r="BD68" t="inlineStr">
        <is>
          <t>893446377</t>
        </is>
      </c>
    </row>
    <row r="69">
      <c r="A69" t="inlineStr">
        <is>
          <t>No</t>
        </is>
      </c>
      <c r="B69" t="inlineStr">
        <is>
          <t>PF5925 .D4</t>
        </is>
      </c>
      <c r="C69" t="inlineStr">
        <is>
          <t>0                      PF 5925000D  4</t>
        </is>
      </c>
      <c r="D69" t="inlineStr">
        <is>
          <t>Deutsch als Muttersprache in den Vereinigten Staaten.</t>
        </is>
      </c>
      <c r="E69" t="inlineStr">
        <is>
          <t>V. 2</t>
        </is>
      </c>
      <c r="F69" t="inlineStr">
        <is>
          <t>Yes</t>
        </is>
      </c>
      <c r="G69" t="inlineStr">
        <is>
          <t>1</t>
        </is>
      </c>
      <c r="H69" t="inlineStr">
        <is>
          <t>No</t>
        </is>
      </c>
      <c r="I69" t="inlineStr">
        <is>
          <t>No</t>
        </is>
      </c>
      <c r="J69" t="inlineStr">
        <is>
          <t>0</t>
        </is>
      </c>
      <c r="L69" t="inlineStr">
        <is>
          <t>Wiesbaden : Steiner, 1979-</t>
        </is>
      </c>
      <c r="M69" t="inlineStr">
        <is>
          <t>1979</t>
        </is>
      </c>
      <c r="O69" t="inlineStr">
        <is>
          <t>ger</t>
        </is>
      </c>
      <c r="P69" t="inlineStr">
        <is>
          <t xml:space="preserve">gw </t>
        </is>
      </c>
      <c r="Q69" t="inlineStr">
        <is>
          <t>Deutsche Sprache in Europa und Übersee ; Bd. 4</t>
        </is>
      </c>
      <c r="R69" t="inlineStr">
        <is>
          <t xml:space="preserve">PF </t>
        </is>
      </c>
      <c r="S69" t="n">
        <v>2</v>
      </c>
      <c r="T69" t="n">
        <v>5</v>
      </c>
      <c r="U69" t="inlineStr">
        <is>
          <t>1993-05-03</t>
        </is>
      </c>
      <c r="V69" t="inlineStr">
        <is>
          <t>2003-03-31</t>
        </is>
      </c>
      <c r="W69" t="inlineStr">
        <is>
          <t>1993-04-27</t>
        </is>
      </c>
      <c r="X69" t="inlineStr">
        <is>
          <t>2003-03-31</t>
        </is>
      </c>
      <c r="Y69" t="n">
        <v>158</v>
      </c>
      <c r="Z69" t="n">
        <v>115</v>
      </c>
      <c r="AA69" t="n">
        <v>118</v>
      </c>
      <c r="AB69" t="n">
        <v>2</v>
      </c>
      <c r="AC69" t="n">
        <v>2</v>
      </c>
      <c r="AD69" t="n">
        <v>4</v>
      </c>
      <c r="AE69" t="n">
        <v>4</v>
      </c>
      <c r="AF69" t="n">
        <v>1</v>
      </c>
      <c r="AG69" t="n">
        <v>1</v>
      </c>
      <c r="AH69" t="n">
        <v>2</v>
      </c>
      <c r="AI69" t="n">
        <v>2</v>
      </c>
      <c r="AJ69" t="n">
        <v>1</v>
      </c>
      <c r="AK69" t="n">
        <v>1</v>
      </c>
      <c r="AL69" t="n">
        <v>1</v>
      </c>
      <c r="AM69" t="n">
        <v>1</v>
      </c>
      <c r="AN69" t="n">
        <v>0</v>
      </c>
      <c r="AO69" t="n">
        <v>0</v>
      </c>
      <c r="AP69" t="inlineStr">
        <is>
          <t>No</t>
        </is>
      </c>
      <c r="AQ69" t="inlineStr">
        <is>
          <t>Yes</t>
        </is>
      </c>
      <c r="AR69">
        <f>HYPERLINK("http://catalog.hathitrust.org/Record/004422480","HathiTrust Record")</f>
        <v/>
      </c>
      <c r="AS69">
        <f>HYPERLINK("https://creighton-primo.hosted.exlibrisgroup.com/primo-explore/search?tab=default_tab&amp;search_scope=EVERYTHING&amp;vid=01CRU&amp;lang=en_US&amp;offset=0&amp;query=any,contains,991004753779702656","Catalog Record")</f>
        <v/>
      </c>
      <c r="AT69">
        <f>HYPERLINK("http://www.worldcat.org/oclc/4955250","WorldCat Record")</f>
        <v/>
      </c>
      <c r="AU69" t="inlineStr">
        <is>
          <t>3134564378:ger</t>
        </is>
      </c>
      <c r="AV69" t="inlineStr">
        <is>
          <t>4955250</t>
        </is>
      </c>
      <c r="AW69" t="inlineStr">
        <is>
          <t>991004753779702656</t>
        </is>
      </c>
      <c r="AX69" t="inlineStr">
        <is>
          <t>991004753779702656</t>
        </is>
      </c>
      <c r="AY69" t="inlineStr">
        <is>
          <t>2270452760002656</t>
        </is>
      </c>
      <c r="AZ69" t="inlineStr">
        <is>
          <t>BOOK</t>
        </is>
      </c>
      <c r="BB69" t="inlineStr">
        <is>
          <t>9783515026345</t>
        </is>
      </c>
      <c r="BC69" t="inlineStr">
        <is>
          <t>32285001648541</t>
        </is>
      </c>
      <c r="BD69" t="inlineStr">
        <is>
          <t>893446378</t>
        </is>
      </c>
    </row>
    <row r="70">
      <c r="A70" t="inlineStr">
        <is>
          <t>No</t>
        </is>
      </c>
      <c r="B70" t="inlineStr">
        <is>
          <t>PF5925 .G4</t>
        </is>
      </c>
      <c r="C70" t="inlineStr">
        <is>
          <t>0                      PF 5925000G  4</t>
        </is>
      </c>
      <c r="D70" t="inlineStr">
        <is>
          <t>The German language in America : a symposium / edited with an introd. by Glenn G. Gilbert.</t>
        </is>
      </c>
      <c r="F70" t="inlineStr">
        <is>
          <t>No</t>
        </is>
      </c>
      <c r="G70" t="inlineStr">
        <is>
          <t>1</t>
        </is>
      </c>
      <c r="H70" t="inlineStr">
        <is>
          <t>No</t>
        </is>
      </c>
      <c r="I70" t="inlineStr">
        <is>
          <t>No</t>
        </is>
      </c>
      <c r="J70" t="inlineStr">
        <is>
          <t>0</t>
        </is>
      </c>
      <c r="L70" t="inlineStr">
        <is>
          <t>Austin : Published for the Dept. of Germanic Languages of the University of Texas at Austin by University of Texas Press, [1971]</t>
        </is>
      </c>
      <c r="M70" t="inlineStr">
        <is>
          <t>1971</t>
        </is>
      </c>
      <c r="O70" t="inlineStr">
        <is>
          <t>eng</t>
        </is>
      </c>
      <c r="P70" t="inlineStr">
        <is>
          <t>txu</t>
        </is>
      </c>
      <c r="R70" t="inlineStr">
        <is>
          <t xml:space="preserve">PF </t>
        </is>
      </c>
      <c r="S70" t="n">
        <v>2</v>
      </c>
      <c r="T70" t="n">
        <v>2</v>
      </c>
      <c r="U70" t="inlineStr">
        <is>
          <t>1993-02-24</t>
        </is>
      </c>
      <c r="V70" t="inlineStr">
        <is>
          <t>1993-02-24</t>
        </is>
      </c>
      <c r="W70" t="inlineStr">
        <is>
          <t>1991-10-07</t>
        </is>
      </c>
      <c r="X70" t="inlineStr">
        <is>
          <t>1991-10-07</t>
        </is>
      </c>
      <c r="Y70" t="n">
        <v>467</v>
      </c>
      <c r="Z70" t="n">
        <v>418</v>
      </c>
      <c r="AA70" t="n">
        <v>420</v>
      </c>
      <c r="AB70" t="n">
        <v>6</v>
      </c>
      <c r="AC70" t="n">
        <v>6</v>
      </c>
      <c r="AD70" t="n">
        <v>19</v>
      </c>
      <c r="AE70" t="n">
        <v>19</v>
      </c>
      <c r="AF70" t="n">
        <v>5</v>
      </c>
      <c r="AG70" t="n">
        <v>5</v>
      </c>
      <c r="AH70" t="n">
        <v>3</v>
      </c>
      <c r="AI70" t="n">
        <v>3</v>
      </c>
      <c r="AJ70" t="n">
        <v>9</v>
      </c>
      <c r="AK70" t="n">
        <v>9</v>
      </c>
      <c r="AL70" t="n">
        <v>5</v>
      </c>
      <c r="AM70" t="n">
        <v>5</v>
      </c>
      <c r="AN70" t="n">
        <v>0</v>
      </c>
      <c r="AO70" t="n">
        <v>0</v>
      </c>
      <c r="AP70" t="inlineStr">
        <is>
          <t>No</t>
        </is>
      </c>
      <c r="AQ70" t="inlineStr">
        <is>
          <t>Yes</t>
        </is>
      </c>
      <c r="AR70">
        <f>HYPERLINK("http://catalog.hathitrust.org/Record/001189506","HathiTrust Record")</f>
        <v/>
      </c>
      <c r="AS70">
        <f>HYPERLINK("https://creighton-primo.hosted.exlibrisgroup.com/primo-explore/search?tab=default_tab&amp;search_scope=EVERYTHING&amp;vid=01CRU&amp;lang=en_US&amp;offset=0&amp;query=any,contains,991001905959702656","Catalog Record")</f>
        <v/>
      </c>
      <c r="AT70">
        <f>HYPERLINK("http://www.worldcat.org/oclc/240391","WorldCat Record")</f>
        <v/>
      </c>
      <c r="AU70" t="inlineStr">
        <is>
          <t>889217397:eng</t>
        </is>
      </c>
      <c r="AV70" t="inlineStr">
        <is>
          <t>240391</t>
        </is>
      </c>
      <c r="AW70" t="inlineStr">
        <is>
          <t>991001905959702656</t>
        </is>
      </c>
      <c r="AX70" t="inlineStr">
        <is>
          <t>991001905959702656</t>
        </is>
      </c>
      <c r="AY70" t="inlineStr">
        <is>
          <t>2272187330002656</t>
        </is>
      </c>
      <c r="AZ70" t="inlineStr">
        <is>
          <t>BOOK</t>
        </is>
      </c>
      <c r="BB70" t="inlineStr">
        <is>
          <t>9780292701496</t>
        </is>
      </c>
      <c r="BC70" t="inlineStr">
        <is>
          <t>32285000763630</t>
        </is>
      </c>
      <c r="BD70" t="inlineStr">
        <is>
          <t>893891920</t>
        </is>
      </c>
    </row>
    <row r="71">
      <c r="A71" t="inlineStr">
        <is>
          <t>No</t>
        </is>
      </c>
      <c r="B71" t="inlineStr">
        <is>
          <t>PF5936 .S45 2001</t>
        </is>
      </c>
      <c r="C71" t="inlineStr">
        <is>
          <t>0                      PF 5936000S  45          2001</t>
        </is>
      </c>
      <c r="D71" t="inlineStr">
        <is>
          <t>A word atlas of Pennsylvania German / by Lester W.J. Seifert ; edited by Mark L. Louden, Howard Martin &amp; Joseph C. Salmons ; with assistance from and original cartography by the Forschungsinstitut für deutsche Sprache "Deutscher Sprachatlas", Marburg, Germany.</t>
        </is>
      </c>
      <c r="F71" t="inlineStr">
        <is>
          <t>No</t>
        </is>
      </c>
      <c r="G71" t="inlineStr">
        <is>
          <t>1</t>
        </is>
      </c>
      <c r="H71" t="inlineStr">
        <is>
          <t>No</t>
        </is>
      </c>
      <c r="I71" t="inlineStr">
        <is>
          <t>No</t>
        </is>
      </c>
      <c r="J71" t="inlineStr">
        <is>
          <t>0</t>
        </is>
      </c>
      <c r="K71" t="inlineStr">
        <is>
          <t>Seifert, Lester W. J., 1915-1996.</t>
        </is>
      </c>
      <c r="L71" t="inlineStr">
        <is>
          <t>Madison, Wis. : Max Kade Institute for German-American Studies, University of Wisconsin-Madison, c2001.</t>
        </is>
      </c>
      <c r="M71" t="inlineStr">
        <is>
          <t>2001</t>
        </is>
      </c>
      <c r="O71" t="inlineStr">
        <is>
          <t>eng</t>
        </is>
      </c>
      <c r="P71" t="inlineStr">
        <is>
          <t>wiu</t>
        </is>
      </c>
      <c r="R71" t="inlineStr">
        <is>
          <t xml:space="preserve">PF </t>
        </is>
      </c>
      <c r="S71" t="n">
        <v>1</v>
      </c>
      <c r="T71" t="n">
        <v>1</v>
      </c>
      <c r="U71" t="inlineStr">
        <is>
          <t>2006-05-10</t>
        </is>
      </c>
      <c r="V71" t="inlineStr">
        <is>
          <t>2006-05-10</t>
        </is>
      </c>
      <c r="W71" t="inlineStr">
        <is>
          <t>2006-03-06</t>
        </is>
      </c>
      <c r="X71" t="inlineStr">
        <is>
          <t>2006-03-06</t>
        </is>
      </c>
      <c r="Y71" t="n">
        <v>130</v>
      </c>
      <c r="Z71" t="n">
        <v>117</v>
      </c>
      <c r="AA71" t="n">
        <v>119</v>
      </c>
      <c r="AB71" t="n">
        <v>1</v>
      </c>
      <c r="AC71" t="n">
        <v>1</v>
      </c>
      <c r="AD71" t="n">
        <v>3</v>
      </c>
      <c r="AE71" t="n">
        <v>3</v>
      </c>
      <c r="AF71" t="n">
        <v>1</v>
      </c>
      <c r="AG71" t="n">
        <v>1</v>
      </c>
      <c r="AH71" t="n">
        <v>2</v>
      </c>
      <c r="AI71" t="n">
        <v>2</v>
      </c>
      <c r="AJ71" t="n">
        <v>3</v>
      </c>
      <c r="AK71" t="n">
        <v>3</v>
      </c>
      <c r="AL71" t="n">
        <v>0</v>
      </c>
      <c r="AM71" t="n">
        <v>0</v>
      </c>
      <c r="AN71" t="n">
        <v>0</v>
      </c>
      <c r="AO71" t="n">
        <v>0</v>
      </c>
      <c r="AP71" t="inlineStr">
        <is>
          <t>No</t>
        </is>
      </c>
      <c r="AQ71" t="inlineStr">
        <is>
          <t>No</t>
        </is>
      </c>
      <c r="AS71">
        <f>HYPERLINK("https://creighton-primo.hosted.exlibrisgroup.com/primo-explore/search?tab=default_tab&amp;search_scope=EVERYTHING&amp;vid=01CRU&amp;lang=en_US&amp;offset=0&amp;query=any,contains,991004760119702656","Catalog Record")</f>
        <v/>
      </c>
      <c r="AT71">
        <f>HYPERLINK("http://www.worldcat.org/oclc/47891896","WorldCat Record")</f>
        <v/>
      </c>
      <c r="AU71" t="inlineStr">
        <is>
          <t>6020076:eng</t>
        </is>
      </c>
      <c r="AV71" t="inlineStr">
        <is>
          <t>47891896</t>
        </is>
      </c>
      <c r="AW71" t="inlineStr">
        <is>
          <t>991004760119702656</t>
        </is>
      </c>
      <c r="AX71" t="inlineStr">
        <is>
          <t>991004760119702656</t>
        </is>
      </c>
      <c r="AY71" t="inlineStr">
        <is>
          <t>2263162820002656</t>
        </is>
      </c>
      <c r="AZ71" t="inlineStr">
        <is>
          <t>BOOK</t>
        </is>
      </c>
      <c r="BB71" t="inlineStr">
        <is>
          <t>9780924119026</t>
        </is>
      </c>
      <c r="BC71" t="inlineStr">
        <is>
          <t>32285005186027</t>
        </is>
      </c>
      <c r="BD71" t="inlineStr">
        <is>
          <t>893789071</t>
        </is>
      </c>
    </row>
    <row r="72">
      <c r="A72" t="inlineStr">
        <is>
          <t>No</t>
        </is>
      </c>
      <c r="B72" t="inlineStr">
        <is>
          <t>PF95 .V3 1986</t>
        </is>
      </c>
      <c r="C72" t="inlineStr">
        <is>
          <t>0                      PF 0095000V  3           1986</t>
        </is>
      </c>
      <c r="D72" t="inlineStr">
        <is>
          <t>Dutch, the language of twenty million Dutch and Flemish people / O. Vandeputte, P. Vincent, T. Hermans.</t>
        </is>
      </c>
      <c r="F72" t="inlineStr">
        <is>
          <t>No</t>
        </is>
      </c>
      <c r="G72" t="inlineStr">
        <is>
          <t>1</t>
        </is>
      </c>
      <c r="H72" t="inlineStr">
        <is>
          <t>No</t>
        </is>
      </c>
      <c r="I72" t="inlineStr">
        <is>
          <t>No</t>
        </is>
      </c>
      <c r="J72" t="inlineStr">
        <is>
          <t>0</t>
        </is>
      </c>
      <c r="K72" t="inlineStr">
        <is>
          <t>Vandeputte, Omer.</t>
        </is>
      </c>
      <c r="L72" t="inlineStr">
        <is>
          <t>Rekkem, Flanders, Belgium : Stichting Ons Erfdeel, 1986.</t>
        </is>
      </c>
      <c r="M72" t="inlineStr">
        <is>
          <t>1986</t>
        </is>
      </c>
      <c r="N72" t="inlineStr">
        <is>
          <t>2nd. rev. ed.</t>
        </is>
      </c>
      <c r="O72" t="inlineStr">
        <is>
          <t>eng</t>
        </is>
      </c>
      <c r="P72" t="inlineStr">
        <is>
          <t xml:space="preserve">be </t>
        </is>
      </c>
      <c r="R72" t="inlineStr">
        <is>
          <t xml:space="preserve">PF </t>
        </is>
      </c>
      <c r="S72" t="n">
        <v>2</v>
      </c>
      <c r="T72" t="n">
        <v>2</v>
      </c>
      <c r="U72" t="inlineStr">
        <is>
          <t>2007-07-10</t>
        </is>
      </c>
      <c r="V72" t="inlineStr">
        <is>
          <t>2007-07-10</t>
        </is>
      </c>
      <c r="W72" t="inlineStr">
        <is>
          <t>1993-04-27</t>
        </is>
      </c>
      <c r="X72" t="inlineStr">
        <is>
          <t>1993-04-27</t>
        </is>
      </c>
      <c r="Y72" t="n">
        <v>378</v>
      </c>
      <c r="Z72" t="n">
        <v>332</v>
      </c>
      <c r="AA72" t="n">
        <v>417</v>
      </c>
      <c r="AB72" t="n">
        <v>7</v>
      </c>
      <c r="AC72" t="n">
        <v>7</v>
      </c>
      <c r="AD72" t="n">
        <v>20</v>
      </c>
      <c r="AE72" t="n">
        <v>22</v>
      </c>
      <c r="AF72" t="n">
        <v>5</v>
      </c>
      <c r="AG72" t="n">
        <v>6</v>
      </c>
      <c r="AH72" t="n">
        <v>2</v>
      </c>
      <c r="AI72" t="n">
        <v>3</v>
      </c>
      <c r="AJ72" t="n">
        <v>7</v>
      </c>
      <c r="AK72" t="n">
        <v>9</v>
      </c>
      <c r="AL72" t="n">
        <v>6</v>
      </c>
      <c r="AM72" t="n">
        <v>6</v>
      </c>
      <c r="AN72" t="n">
        <v>0</v>
      </c>
      <c r="AO72" t="n">
        <v>0</v>
      </c>
      <c r="AP72" t="inlineStr">
        <is>
          <t>No</t>
        </is>
      </c>
      <c r="AQ72" t="inlineStr">
        <is>
          <t>Yes</t>
        </is>
      </c>
      <c r="AR72">
        <f>HYPERLINK("http://catalog.hathitrust.org/Record/000437819","HathiTrust Record")</f>
        <v/>
      </c>
      <c r="AS72">
        <f>HYPERLINK("https://creighton-primo.hosted.exlibrisgroup.com/primo-explore/search?tab=default_tab&amp;search_scope=EVERYTHING&amp;vid=01CRU&amp;lang=en_US&amp;offset=0&amp;query=any,contains,991000887719702656","Catalog Record")</f>
        <v/>
      </c>
      <c r="AT72">
        <f>HYPERLINK("http://www.worldcat.org/oclc/16684076","WorldCat Record")</f>
        <v/>
      </c>
      <c r="AU72" t="inlineStr">
        <is>
          <t>47552459:eng</t>
        </is>
      </c>
      <c r="AV72" t="inlineStr">
        <is>
          <t>16684076</t>
        </is>
      </c>
      <c r="AW72" t="inlineStr">
        <is>
          <t>991000887719702656</t>
        </is>
      </c>
      <c r="AX72" t="inlineStr">
        <is>
          <t>991000887719702656</t>
        </is>
      </c>
      <c r="AY72" t="inlineStr">
        <is>
          <t>2265827880002656</t>
        </is>
      </c>
      <c r="AZ72" t="inlineStr">
        <is>
          <t>BOOK</t>
        </is>
      </c>
      <c r="BB72" t="inlineStr">
        <is>
          <t>9789070831059</t>
        </is>
      </c>
      <c r="BC72" t="inlineStr">
        <is>
          <t>32285001647741</t>
        </is>
      </c>
      <c r="BD72" t="inlineStr">
        <is>
          <t>893784601</t>
        </is>
      </c>
    </row>
    <row r="73">
      <c r="A73" t="inlineStr">
        <is>
          <t>No</t>
        </is>
      </c>
      <c r="B73" t="inlineStr">
        <is>
          <t>PG1225 .F72 1980</t>
        </is>
      </c>
      <c r="C73" t="inlineStr">
        <is>
          <t>0                      PG 1225000F  72          1980</t>
        </is>
      </c>
      <c r="D73" t="inlineStr">
        <is>
          <t>A short history of literary Croatian / Branko Franolic.</t>
        </is>
      </c>
      <c r="F73" t="inlineStr">
        <is>
          <t>No</t>
        </is>
      </c>
      <c r="G73" t="inlineStr">
        <is>
          <t>1</t>
        </is>
      </c>
      <c r="H73" t="inlineStr">
        <is>
          <t>No</t>
        </is>
      </c>
      <c r="I73" t="inlineStr">
        <is>
          <t>No</t>
        </is>
      </c>
      <c r="J73" t="inlineStr">
        <is>
          <t>0</t>
        </is>
      </c>
      <c r="K73" t="inlineStr">
        <is>
          <t>Franolic, Branko.</t>
        </is>
      </c>
      <c r="L73" t="inlineStr">
        <is>
          <t>Paris : Nouvelles éditions latines, c1980.</t>
        </is>
      </c>
      <c r="M73" t="inlineStr">
        <is>
          <t>1980</t>
        </is>
      </c>
      <c r="O73" t="inlineStr">
        <is>
          <t>eng</t>
        </is>
      </c>
      <c r="P73" t="inlineStr">
        <is>
          <t xml:space="preserve">fr </t>
        </is>
      </c>
      <c r="R73" t="inlineStr">
        <is>
          <t xml:space="preserve">PG </t>
        </is>
      </c>
      <c r="S73" t="n">
        <v>0</v>
      </c>
      <c r="T73" t="n">
        <v>0</v>
      </c>
      <c r="U73" t="inlineStr">
        <is>
          <t>2005-10-31</t>
        </is>
      </c>
      <c r="V73" t="inlineStr">
        <is>
          <t>2005-10-31</t>
        </is>
      </c>
      <c r="W73" t="inlineStr">
        <is>
          <t>1993-04-27</t>
        </is>
      </c>
      <c r="X73" t="inlineStr">
        <is>
          <t>1993-04-27</t>
        </is>
      </c>
      <c r="Y73" t="n">
        <v>117</v>
      </c>
      <c r="Z73" t="n">
        <v>40</v>
      </c>
      <c r="AA73" t="n">
        <v>42</v>
      </c>
      <c r="AB73" t="n">
        <v>1</v>
      </c>
      <c r="AC73" t="n">
        <v>1</v>
      </c>
      <c r="AD73" t="n">
        <v>1</v>
      </c>
      <c r="AE73" t="n">
        <v>1</v>
      </c>
      <c r="AF73" t="n">
        <v>0</v>
      </c>
      <c r="AG73" t="n">
        <v>0</v>
      </c>
      <c r="AH73" t="n">
        <v>0</v>
      </c>
      <c r="AI73" t="n">
        <v>0</v>
      </c>
      <c r="AJ73" t="n">
        <v>1</v>
      </c>
      <c r="AK73" t="n">
        <v>1</v>
      </c>
      <c r="AL73" t="n">
        <v>0</v>
      </c>
      <c r="AM73" t="n">
        <v>0</v>
      </c>
      <c r="AN73" t="n">
        <v>0</v>
      </c>
      <c r="AO73" t="n">
        <v>0</v>
      </c>
      <c r="AP73" t="inlineStr">
        <is>
          <t>No</t>
        </is>
      </c>
      <c r="AQ73" t="inlineStr">
        <is>
          <t>Yes</t>
        </is>
      </c>
      <c r="AR73">
        <f>HYPERLINK("http://catalog.hathitrust.org/Record/000224499","HathiTrust Record")</f>
        <v/>
      </c>
      <c r="AS73">
        <f>HYPERLINK("https://creighton-primo.hosted.exlibrisgroup.com/primo-explore/search?tab=default_tab&amp;search_scope=EVERYTHING&amp;vid=01CRU&amp;lang=en_US&amp;offset=0&amp;query=any,contains,991005074649702656","Catalog Record")</f>
        <v/>
      </c>
      <c r="AT73">
        <f>HYPERLINK("http://www.worldcat.org/oclc/7093211","WorldCat Record")</f>
        <v/>
      </c>
      <c r="AU73" t="inlineStr">
        <is>
          <t>25163349:eng</t>
        </is>
      </c>
      <c r="AV73" t="inlineStr">
        <is>
          <t>7093211</t>
        </is>
      </c>
      <c r="AW73" t="inlineStr">
        <is>
          <t>991005074649702656</t>
        </is>
      </c>
      <c r="AX73" t="inlineStr">
        <is>
          <t>991005074649702656</t>
        </is>
      </c>
      <c r="AY73" t="inlineStr">
        <is>
          <t>2259456620002656</t>
        </is>
      </c>
      <c r="AZ73" t="inlineStr">
        <is>
          <t>BOOK</t>
        </is>
      </c>
      <c r="BC73" t="inlineStr">
        <is>
          <t>32285001648616</t>
        </is>
      </c>
      <c r="BD73" t="inlineStr">
        <is>
          <t>893600564</t>
        </is>
      </c>
    </row>
    <row r="74">
      <c r="A74" t="inlineStr">
        <is>
          <t>No</t>
        </is>
      </c>
      <c r="B74" t="inlineStr">
        <is>
          <t>PG1225 .F726 1984</t>
        </is>
      </c>
      <c r="C74" t="inlineStr">
        <is>
          <t>0                      PG 1225000F  726         1984</t>
        </is>
      </c>
      <c r="D74" t="inlineStr">
        <is>
          <t>An historical survey of literary Croatian / Branko Franolić.</t>
        </is>
      </c>
      <c r="F74" t="inlineStr">
        <is>
          <t>No</t>
        </is>
      </c>
      <c r="G74" t="inlineStr">
        <is>
          <t>1</t>
        </is>
      </c>
      <c r="H74" t="inlineStr">
        <is>
          <t>No</t>
        </is>
      </c>
      <c r="I74" t="inlineStr">
        <is>
          <t>No</t>
        </is>
      </c>
      <c r="J74" t="inlineStr">
        <is>
          <t>0</t>
        </is>
      </c>
      <c r="K74" t="inlineStr">
        <is>
          <t>Franolic, Branko.</t>
        </is>
      </c>
      <c r="L74" t="inlineStr">
        <is>
          <t>Paris : Nouvelles éditions latines, c1984.</t>
        </is>
      </c>
      <c r="M74" t="inlineStr">
        <is>
          <t>1984</t>
        </is>
      </c>
      <c r="O74" t="inlineStr">
        <is>
          <t>eng</t>
        </is>
      </c>
      <c r="P74" t="inlineStr">
        <is>
          <t xml:space="preserve">fr </t>
        </is>
      </c>
      <c r="R74" t="inlineStr">
        <is>
          <t xml:space="preserve">PG </t>
        </is>
      </c>
      <c r="S74" t="n">
        <v>0</v>
      </c>
      <c r="T74" t="n">
        <v>0</v>
      </c>
      <c r="U74" t="inlineStr">
        <is>
          <t>2002-01-07</t>
        </is>
      </c>
      <c r="V74" t="inlineStr">
        <is>
          <t>2002-01-07</t>
        </is>
      </c>
      <c r="W74" t="inlineStr">
        <is>
          <t>1990-06-04</t>
        </is>
      </c>
      <c r="X74" t="inlineStr">
        <is>
          <t>1990-06-04</t>
        </is>
      </c>
      <c r="Y74" t="n">
        <v>107</v>
      </c>
      <c r="Z74" t="n">
        <v>27</v>
      </c>
      <c r="AA74" t="n">
        <v>29</v>
      </c>
      <c r="AB74" t="n">
        <v>2</v>
      </c>
      <c r="AC74" t="n">
        <v>2</v>
      </c>
      <c r="AD74" t="n">
        <v>1</v>
      </c>
      <c r="AE74" t="n">
        <v>1</v>
      </c>
      <c r="AF74" t="n">
        <v>0</v>
      </c>
      <c r="AG74" t="n">
        <v>0</v>
      </c>
      <c r="AH74" t="n">
        <v>0</v>
      </c>
      <c r="AI74" t="n">
        <v>0</v>
      </c>
      <c r="AJ74" t="n">
        <v>1</v>
      </c>
      <c r="AK74" t="n">
        <v>1</v>
      </c>
      <c r="AL74" t="n">
        <v>0</v>
      </c>
      <c r="AM74" t="n">
        <v>0</v>
      </c>
      <c r="AN74" t="n">
        <v>0</v>
      </c>
      <c r="AO74" t="n">
        <v>0</v>
      </c>
      <c r="AP74" t="inlineStr">
        <is>
          <t>No</t>
        </is>
      </c>
      <c r="AQ74" t="inlineStr">
        <is>
          <t>Yes</t>
        </is>
      </c>
      <c r="AR74">
        <f>HYPERLINK("http://catalog.hathitrust.org/Record/000439961","HathiTrust Record")</f>
        <v/>
      </c>
      <c r="AS74">
        <f>HYPERLINK("https://creighton-primo.hosted.exlibrisgroup.com/primo-explore/search?tab=default_tab&amp;search_scope=EVERYTHING&amp;vid=01CRU&amp;lang=en_US&amp;offset=0&amp;query=any,contains,991001127339702656","Catalog Record")</f>
        <v/>
      </c>
      <c r="AT74">
        <f>HYPERLINK("http://www.worldcat.org/oclc/16656347","WorldCat Record")</f>
        <v/>
      </c>
      <c r="AU74" t="inlineStr">
        <is>
          <t>12003171:eng</t>
        </is>
      </c>
      <c r="AV74" t="inlineStr">
        <is>
          <t>16656347</t>
        </is>
      </c>
      <c r="AW74" t="inlineStr">
        <is>
          <t>991001127339702656</t>
        </is>
      </c>
      <c r="AX74" t="inlineStr">
        <is>
          <t>991001127339702656</t>
        </is>
      </c>
      <c r="AY74" t="inlineStr">
        <is>
          <t>2261441690002656</t>
        </is>
      </c>
      <c r="AZ74" t="inlineStr">
        <is>
          <t>BOOK</t>
        </is>
      </c>
      <c r="BB74" t="inlineStr">
        <is>
          <t>9782723301268</t>
        </is>
      </c>
      <c r="BC74" t="inlineStr">
        <is>
          <t>32285000158104</t>
        </is>
      </c>
      <c r="BD74" t="inlineStr">
        <is>
          <t>893496838</t>
        </is>
      </c>
    </row>
    <row r="75">
      <c r="A75" t="inlineStr">
        <is>
          <t>No</t>
        </is>
      </c>
      <c r="B75" t="inlineStr">
        <is>
          <t>PG1418.A6 B7</t>
        </is>
      </c>
      <c r="C75" t="inlineStr">
        <is>
          <t>0                      PG 1418000A  6                  B  7</t>
        </is>
      </c>
      <c r="D75" t="inlineStr">
        <is>
          <t>The bridge on the Drina. Translated from the Serbo-Croat by Lovett F. Edwards.</t>
        </is>
      </c>
      <c r="F75" t="inlineStr">
        <is>
          <t>No</t>
        </is>
      </c>
      <c r="G75" t="inlineStr">
        <is>
          <t>1</t>
        </is>
      </c>
      <c r="H75" t="inlineStr">
        <is>
          <t>No</t>
        </is>
      </c>
      <c r="I75" t="inlineStr">
        <is>
          <t>No</t>
        </is>
      </c>
      <c r="J75" t="inlineStr">
        <is>
          <t>0</t>
        </is>
      </c>
      <c r="K75" t="inlineStr">
        <is>
          <t>Andrić, Ivo, 1892-1975.</t>
        </is>
      </c>
      <c r="L75" t="inlineStr">
        <is>
          <t>New York, Macmillan, 1959.</t>
        </is>
      </c>
      <c r="M75" t="inlineStr">
        <is>
          <t>1959</t>
        </is>
      </c>
      <c r="O75" t="inlineStr">
        <is>
          <t>eng</t>
        </is>
      </c>
      <c r="P75" t="inlineStr">
        <is>
          <t>nyu</t>
        </is>
      </c>
      <c r="R75" t="inlineStr">
        <is>
          <t xml:space="preserve">PG </t>
        </is>
      </c>
      <c r="S75" t="n">
        <v>1</v>
      </c>
      <c r="T75" t="n">
        <v>1</v>
      </c>
      <c r="U75" t="inlineStr">
        <is>
          <t>2004-04-01</t>
        </is>
      </c>
      <c r="V75" t="inlineStr">
        <is>
          <t>2004-04-01</t>
        </is>
      </c>
      <c r="W75" t="inlineStr">
        <is>
          <t>1997-10-01</t>
        </is>
      </c>
      <c r="X75" t="inlineStr">
        <is>
          <t>1997-10-01</t>
        </is>
      </c>
      <c r="Y75" t="n">
        <v>730</v>
      </c>
      <c r="Z75" t="n">
        <v>701</v>
      </c>
      <c r="AA75" t="n">
        <v>1400</v>
      </c>
      <c r="AB75" t="n">
        <v>4</v>
      </c>
      <c r="AC75" t="n">
        <v>13</v>
      </c>
      <c r="AD75" t="n">
        <v>15</v>
      </c>
      <c r="AE75" t="n">
        <v>40</v>
      </c>
      <c r="AF75" t="n">
        <v>7</v>
      </c>
      <c r="AG75" t="n">
        <v>16</v>
      </c>
      <c r="AH75" t="n">
        <v>4</v>
      </c>
      <c r="AI75" t="n">
        <v>8</v>
      </c>
      <c r="AJ75" t="n">
        <v>6</v>
      </c>
      <c r="AK75" t="n">
        <v>18</v>
      </c>
      <c r="AL75" t="n">
        <v>3</v>
      </c>
      <c r="AM75" t="n">
        <v>6</v>
      </c>
      <c r="AN75" t="n">
        <v>0</v>
      </c>
      <c r="AO75" t="n">
        <v>0</v>
      </c>
      <c r="AP75" t="inlineStr">
        <is>
          <t>No</t>
        </is>
      </c>
      <c r="AQ75" t="inlineStr">
        <is>
          <t>Yes</t>
        </is>
      </c>
      <c r="AR75">
        <f>HYPERLINK("http://catalog.hathitrust.org/Record/001184250","HathiTrust Record")</f>
        <v/>
      </c>
      <c r="AS75">
        <f>HYPERLINK("https://creighton-primo.hosted.exlibrisgroup.com/primo-explore/search?tab=default_tab&amp;search_scope=EVERYTHING&amp;vid=01CRU&amp;lang=en_US&amp;offset=0&amp;query=any,contains,991002333499702656","Catalog Record")</f>
        <v/>
      </c>
      <c r="AT75">
        <f>HYPERLINK("http://www.worldcat.org/oclc/322670","WorldCat Record")</f>
        <v/>
      </c>
      <c r="AU75" t="inlineStr">
        <is>
          <t>801168:eng</t>
        </is>
      </c>
      <c r="AV75" t="inlineStr">
        <is>
          <t>322670</t>
        </is>
      </c>
      <c r="AW75" t="inlineStr">
        <is>
          <t>991002333499702656</t>
        </is>
      </c>
      <c r="AX75" t="inlineStr">
        <is>
          <t>991002333499702656</t>
        </is>
      </c>
      <c r="AY75" t="inlineStr">
        <is>
          <t>2257060360002656</t>
        </is>
      </c>
      <c r="AZ75" t="inlineStr">
        <is>
          <t>BOOK</t>
        </is>
      </c>
      <c r="BC75" t="inlineStr">
        <is>
          <t>32285003249835</t>
        </is>
      </c>
      <c r="BD75" t="inlineStr">
        <is>
          <t>893421220</t>
        </is>
      </c>
    </row>
    <row r="76">
      <c r="A76" t="inlineStr">
        <is>
          <t>No</t>
        </is>
      </c>
      <c r="B76" t="inlineStr">
        <is>
          <t>PG1418.P4 G72 1970</t>
        </is>
      </c>
      <c r="C76" t="inlineStr">
        <is>
          <t>0                      PG 1418000P  4                  G  72          1970</t>
        </is>
      </c>
      <c r="D76" t="inlineStr">
        <is>
          <t>The mountain wreath of P. P. Nyegosh (Petar II), Prince-Bishop of Montenegro, 1830-1851. Rendered into English by James W. Wiles. With an introd. by Vladeta Popović.</t>
        </is>
      </c>
      <c r="F76" t="inlineStr">
        <is>
          <t>No</t>
        </is>
      </c>
      <c r="G76" t="inlineStr">
        <is>
          <t>1</t>
        </is>
      </c>
      <c r="H76" t="inlineStr">
        <is>
          <t>No</t>
        </is>
      </c>
      <c r="I76" t="inlineStr">
        <is>
          <t>No</t>
        </is>
      </c>
      <c r="J76" t="inlineStr">
        <is>
          <t>0</t>
        </is>
      </c>
      <c r="K76" t="inlineStr">
        <is>
          <t>Peter II, Prince-Bishop of Montenegro, 1813-1851.</t>
        </is>
      </c>
      <c r="L76" t="inlineStr">
        <is>
          <t>Westport, Conn., Greenwood Press [1970]</t>
        </is>
      </c>
      <c r="M76" t="inlineStr">
        <is>
          <t>1970</t>
        </is>
      </c>
      <c r="O76" t="inlineStr">
        <is>
          <t>eng</t>
        </is>
      </c>
      <c r="P76" t="inlineStr">
        <is>
          <t>ctu</t>
        </is>
      </c>
      <c r="R76" t="inlineStr">
        <is>
          <t xml:space="preserve">PG </t>
        </is>
      </c>
      <c r="S76" t="n">
        <v>1</v>
      </c>
      <c r="T76" t="n">
        <v>1</v>
      </c>
      <c r="U76" t="inlineStr">
        <is>
          <t>1998-02-11</t>
        </is>
      </c>
      <c r="V76" t="inlineStr">
        <is>
          <t>1998-02-11</t>
        </is>
      </c>
      <c r="W76" t="inlineStr">
        <is>
          <t>1997-10-01</t>
        </is>
      </c>
      <c r="X76" t="inlineStr">
        <is>
          <t>1997-10-01</t>
        </is>
      </c>
      <c r="Y76" t="n">
        <v>115</v>
      </c>
      <c r="Z76" t="n">
        <v>107</v>
      </c>
      <c r="AA76" t="n">
        <v>170</v>
      </c>
      <c r="AB76" t="n">
        <v>2</v>
      </c>
      <c r="AC76" t="n">
        <v>2</v>
      </c>
      <c r="AD76" t="n">
        <v>3</v>
      </c>
      <c r="AE76" t="n">
        <v>5</v>
      </c>
      <c r="AF76" t="n">
        <v>0</v>
      </c>
      <c r="AG76" t="n">
        <v>0</v>
      </c>
      <c r="AH76" t="n">
        <v>2</v>
      </c>
      <c r="AI76" t="n">
        <v>2</v>
      </c>
      <c r="AJ76" t="n">
        <v>1</v>
      </c>
      <c r="AK76" t="n">
        <v>3</v>
      </c>
      <c r="AL76" t="n">
        <v>1</v>
      </c>
      <c r="AM76" t="n">
        <v>1</v>
      </c>
      <c r="AN76" t="n">
        <v>0</v>
      </c>
      <c r="AO76" t="n">
        <v>0</v>
      </c>
      <c r="AP76" t="inlineStr">
        <is>
          <t>No</t>
        </is>
      </c>
      <c r="AQ76" t="inlineStr">
        <is>
          <t>No</t>
        </is>
      </c>
      <c r="AS76">
        <f>HYPERLINK("https://creighton-primo.hosted.exlibrisgroup.com/primo-explore/search?tab=default_tab&amp;search_scope=EVERYTHING&amp;vid=01CRU&amp;lang=en_US&amp;offset=0&amp;query=any,contains,991000682669702656","Catalog Record")</f>
        <v/>
      </c>
      <c r="AT76">
        <f>HYPERLINK("http://www.worldcat.org/oclc/122396","WorldCat Record")</f>
        <v/>
      </c>
      <c r="AU76" t="inlineStr">
        <is>
          <t>4926281428:eng</t>
        </is>
      </c>
      <c r="AV76" t="inlineStr">
        <is>
          <t>122396</t>
        </is>
      </c>
      <c r="AW76" t="inlineStr">
        <is>
          <t>991000682669702656</t>
        </is>
      </c>
      <c r="AX76" t="inlineStr">
        <is>
          <t>991000682669702656</t>
        </is>
      </c>
      <c r="AY76" t="inlineStr">
        <is>
          <t>2260892050002656</t>
        </is>
      </c>
      <c r="AZ76" t="inlineStr">
        <is>
          <t>BOOK</t>
        </is>
      </c>
      <c r="BB76" t="inlineStr">
        <is>
          <t>9780837143118</t>
        </is>
      </c>
      <c r="BC76" t="inlineStr">
        <is>
          <t>32285003249868</t>
        </is>
      </c>
      <c r="BD76" t="inlineStr">
        <is>
          <t>893702336</t>
        </is>
      </c>
    </row>
    <row r="77">
      <c r="A77" t="inlineStr">
        <is>
          <t>No</t>
        </is>
      </c>
      <c r="B77" t="inlineStr">
        <is>
          <t>PG2074.73 .L35 1998</t>
        </is>
      </c>
      <c r="C77" t="inlineStr">
        <is>
          <t>0                      PG 2074730L  35          1998</t>
        </is>
      </c>
      <c r="D77" t="inlineStr">
        <is>
          <t>Identity in formation : the Russian-speaking populations in the near abroad / David D. Laitin.</t>
        </is>
      </c>
      <c r="F77" t="inlineStr">
        <is>
          <t>No</t>
        </is>
      </c>
      <c r="G77" t="inlineStr">
        <is>
          <t>1</t>
        </is>
      </c>
      <c r="H77" t="inlineStr">
        <is>
          <t>No</t>
        </is>
      </c>
      <c r="I77" t="inlineStr">
        <is>
          <t>No</t>
        </is>
      </c>
      <c r="J77" t="inlineStr">
        <is>
          <t>0</t>
        </is>
      </c>
      <c r="K77" t="inlineStr">
        <is>
          <t>Laitin, David D.</t>
        </is>
      </c>
      <c r="L77" t="inlineStr">
        <is>
          <t>Ithaca : Cornell University Press, 1998.</t>
        </is>
      </c>
      <c r="M77" t="inlineStr">
        <is>
          <t>1998</t>
        </is>
      </c>
      <c r="O77" t="inlineStr">
        <is>
          <t>eng</t>
        </is>
      </c>
      <c r="P77" t="inlineStr">
        <is>
          <t>nyu</t>
        </is>
      </c>
      <c r="Q77" t="inlineStr">
        <is>
          <t>The Wilder House series in politics, history, and culture</t>
        </is>
      </c>
      <c r="R77" t="inlineStr">
        <is>
          <t xml:space="preserve">PG </t>
        </is>
      </c>
      <c r="S77" t="n">
        <v>2</v>
      </c>
      <c r="T77" t="n">
        <v>2</v>
      </c>
      <c r="U77" t="inlineStr">
        <is>
          <t>2003-08-27</t>
        </is>
      </c>
      <c r="V77" t="inlineStr">
        <is>
          <t>2003-08-27</t>
        </is>
      </c>
      <c r="W77" t="inlineStr">
        <is>
          <t>1999-09-01</t>
        </is>
      </c>
      <c r="X77" t="inlineStr">
        <is>
          <t>1999-09-01</t>
        </is>
      </c>
      <c r="Y77" t="n">
        <v>410</v>
      </c>
      <c r="Z77" t="n">
        <v>294</v>
      </c>
      <c r="AA77" t="n">
        <v>442</v>
      </c>
      <c r="AB77" t="n">
        <v>3</v>
      </c>
      <c r="AC77" t="n">
        <v>3</v>
      </c>
      <c r="AD77" t="n">
        <v>17</v>
      </c>
      <c r="AE77" t="n">
        <v>26</v>
      </c>
      <c r="AF77" t="n">
        <v>6</v>
      </c>
      <c r="AG77" t="n">
        <v>10</v>
      </c>
      <c r="AH77" t="n">
        <v>7</v>
      </c>
      <c r="AI77" t="n">
        <v>10</v>
      </c>
      <c r="AJ77" t="n">
        <v>8</v>
      </c>
      <c r="AK77" t="n">
        <v>12</v>
      </c>
      <c r="AL77" t="n">
        <v>2</v>
      </c>
      <c r="AM77" t="n">
        <v>2</v>
      </c>
      <c r="AN77" t="n">
        <v>0</v>
      </c>
      <c r="AO77" t="n">
        <v>0</v>
      </c>
      <c r="AP77" t="inlineStr">
        <is>
          <t>No</t>
        </is>
      </c>
      <c r="AQ77" t="inlineStr">
        <is>
          <t>No</t>
        </is>
      </c>
      <c r="AS77">
        <f>HYPERLINK("https://creighton-primo.hosted.exlibrisgroup.com/primo-explore/search?tab=default_tab&amp;search_scope=EVERYTHING&amp;vid=01CRU&amp;lang=en_US&amp;offset=0&amp;query=any,contains,991002885819702656","Catalog Record")</f>
        <v/>
      </c>
      <c r="AT77">
        <f>HYPERLINK("http://www.worldcat.org/oclc/38024176","WorldCat Record")</f>
        <v/>
      </c>
      <c r="AU77" t="inlineStr">
        <is>
          <t>837027744:eng</t>
        </is>
      </c>
      <c r="AV77" t="inlineStr">
        <is>
          <t>38024176</t>
        </is>
      </c>
      <c r="AW77" t="inlineStr">
        <is>
          <t>991002885819702656</t>
        </is>
      </c>
      <c r="AX77" t="inlineStr">
        <is>
          <t>991002885819702656</t>
        </is>
      </c>
      <c r="AY77" t="inlineStr">
        <is>
          <t>2264253670002656</t>
        </is>
      </c>
      <c r="AZ77" t="inlineStr">
        <is>
          <t>BOOK</t>
        </is>
      </c>
      <c r="BB77" t="inlineStr">
        <is>
          <t>9780801434952</t>
        </is>
      </c>
      <c r="BC77" t="inlineStr">
        <is>
          <t>32285003585766</t>
        </is>
      </c>
      <c r="BD77" t="inlineStr">
        <is>
          <t>893604171</t>
        </is>
      </c>
    </row>
    <row r="78">
      <c r="A78" t="inlineStr">
        <is>
          <t>No</t>
        </is>
      </c>
      <c r="B78" t="inlineStr">
        <is>
          <t>PG2111 .J28 1949</t>
        </is>
      </c>
      <c r="C78" t="inlineStr">
        <is>
          <t>0                      PG 2111000J  28          1949</t>
        </is>
      </c>
      <c r="D78" t="inlineStr">
        <is>
          <t>Beginners' Russian.</t>
        </is>
      </c>
      <c r="F78" t="inlineStr">
        <is>
          <t>No</t>
        </is>
      </c>
      <c r="G78" t="inlineStr">
        <is>
          <t>1</t>
        </is>
      </c>
      <c r="H78" t="inlineStr">
        <is>
          <t>No</t>
        </is>
      </c>
      <c r="I78" t="inlineStr">
        <is>
          <t>No</t>
        </is>
      </c>
      <c r="J78" t="inlineStr">
        <is>
          <t>0</t>
        </is>
      </c>
      <c r="K78" t="inlineStr">
        <is>
          <t>Jacques, Agnes, 1897-</t>
        </is>
      </c>
      <c r="L78" t="inlineStr">
        <is>
          <t>New York : Hendricks House, 1949.</t>
        </is>
      </c>
      <c r="M78" t="inlineStr">
        <is>
          <t>1949</t>
        </is>
      </c>
      <c r="O78" t="inlineStr">
        <is>
          <t>eng</t>
        </is>
      </c>
      <c r="P78" t="inlineStr">
        <is>
          <t>nyu</t>
        </is>
      </c>
      <c r="R78" t="inlineStr">
        <is>
          <t xml:space="preserve">PG </t>
        </is>
      </c>
      <c r="S78" t="n">
        <v>3</v>
      </c>
      <c r="T78" t="n">
        <v>3</v>
      </c>
      <c r="U78" t="inlineStr">
        <is>
          <t>1996-10-29</t>
        </is>
      </c>
      <c r="V78" t="inlineStr">
        <is>
          <t>1996-10-29</t>
        </is>
      </c>
      <c r="W78" t="inlineStr">
        <is>
          <t>1992-02-10</t>
        </is>
      </c>
      <c r="X78" t="inlineStr">
        <is>
          <t>1992-02-10</t>
        </is>
      </c>
      <c r="Y78" t="n">
        <v>75</v>
      </c>
      <c r="Z78" t="n">
        <v>73</v>
      </c>
      <c r="AA78" t="n">
        <v>75</v>
      </c>
      <c r="AB78" t="n">
        <v>1</v>
      </c>
      <c r="AC78" t="n">
        <v>1</v>
      </c>
      <c r="AD78" t="n">
        <v>3</v>
      </c>
      <c r="AE78" t="n">
        <v>3</v>
      </c>
      <c r="AF78" t="n">
        <v>0</v>
      </c>
      <c r="AG78" t="n">
        <v>0</v>
      </c>
      <c r="AH78" t="n">
        <v>1</v>
      </c>
      <c r="AI78" t="n">
        <v>1</v>
      </c>
      <c r="AJ78" t="n">
        <v>3</v>
      </c>
      <c r="AK78" t="n">
        <v>3</v>
      </c>
      <c r="AL78" t="n">
        <v>0</v>
      </c>
      <c r="AM78" t="n">
        <v>0</v>
      </c>
      <c r="AN78" t="n">
        <v>0</v>
      </c>
      <c r="AO78" t="n">
        <v>0</v>
      </c>
      <c r="AP78" t="inlineStr">
        <is>
          <t>No</t>
        </is>
      </c>
      <c r="AQ78" t="inlineStr">
        <is>
          <t>No</t>
        </is>
      </c>
      <c r="AS78">
        <f>HYPERLINK("https://creighton-primo.hosted.exlibrisgroup.com/primo-explore/search?tab=default_tab&amp;search_scope=EVERYTHING&amp;vid=01CRU&amp;lang=en_US&amp;offset=0&amp;query=any,contains,991003855929702656","Catalog Record")</f>
        <v/>
      </c>
      <c r="AT78">
        <f>HYPERLINK("http://www.worldcat.org/oclc/1653776","WorldCat Record")</f>
        <v/>
      </c>
      <c r="AU78" t="inlineStr">
        <is>
          <t>1862480861:eng</t>
        </is>
      </c>
      <c r="AV78" t="inlineStr">
        <is>
          <t>1653776</t>
        </is>
      </c>
      <c r="AW78" t="inlineStr">
        <is>
          <t>991003855929702656</t>
        </is>
      </c>
      <c r="AX78" t="inlineStr">
        <is>
          <t>991003855929702656</t>
        </is>
      </c>
      <c r="AY78" t="inlineStr">
        <is>
          <t>2269399320002656</t>
        </is>
      </c>
      <c r="AZ78" t="inlineStr">
        <is>
          <t>BOOK</t>
        </is>
      </c>
      <c r="BC78" t="inlineStr">
        <is>
          <t>32285000954452</t>
        </is>
      </c>
      <c r="BD78" t="inlineStr">
        <is>
          <t>893699503</t>
        </is>
      </c>
    </row>
    <row r="79">
      <c r="A79" t="inlineStr">
        <is>
          <t>No</t>
        </is>
      </c>
      <c r="B79" t="inlineStr">
        <is>
          <t>PG2111 .P7</t>
        </is>
      </c>
      <c r="C79" t="inlineStr">
        <is>
          <t>0                      PG 2111000P  7</t>
        </is>
      </c>
      <c r="D79" t="inlineStr">
        <is>
          <t>Russian grammar for class and reference use : a progressive method of learning Russian / by John Dyneley Prince.</t>
        </is>
      </c>
      <c r="F79" t="inlineStr">
        <is>
          <t>No</t>
        </is>
      </c>
      <c r="G79" t="inlineStr">
        <is>
          <t>1</t>
        </is>
      </c>
      <c r="H79" t="inlineStr">
        <is>
          <t>No</t>
        </is>
      </c>
      <c r="I79" t="inlineStr">
        <is>
          <t>No</t>
        </is>
      </c>
      <c r="J79" t="inlineStr">
        <is>
          <t>0</t>
        </is>
      </c>
      <c r="K79" t="inlineStr">
        <is>
          <t>Prince, John Dyneley, 1868-1945.</t>
        </is>
      </c>
      <c r="L79" t="inlineStr">
        <is>
          <t>New York : Columbia University Press, 1919.</t>
        </is>
      </c>
      <c r="M79" t="inlineStr">
        <is>
          <t>1919</t>
        </is>
      </c>
      <c r="O79" t="inlineStr">
        <is>
          <t>rus</t>
        </is>
      </c>
      <c r="P79" t="inlineStr">
        <is>
          <t>nyu</t>
        </is>
      </c>
      <c r="R79" t="inlineStr">
        <is>
          <t xml:space="preserve">PG </t>
        </is>
      </c>
      <c r="S79" t="n">
        <v>1</v>
      </c>
      <c r="T79" t="n">
        <v>1</v>
      </c>
      <c r="U79" t="inlineStr">
        <is>
          <t>1996-09-23</t>
        </is>
      </c>
      <c r="V79" t="inlineStr">
        <is>
          <t>1996-09-23</t>
        </is>
      </c>
      <c r="W79" t="inlineStr">
        <is>
          <t>1992-02-10</t>
        </is>
      </c>
      <c r="X79" t="inlineStr">
        <is>
          <t>1992-02-10</t>
        </is>
      </c>
      <c r="Y79" t="n">
        <v>39</v>
      </c>
      <c r="Z79" t="n">
        <v>33</v>
      </c>
      <c r="AA79" t="n">
        <v>47</v>
      </c>
      <c r="AB79" t="n">
        <v>3</v>
      </c>
      <c r="AC79" t="n">
        <v>3</v>
      </c>
      <c r="AD79" t="n">
        <v>4</v>
      </c>
      <c r="AE79" t="n">
        <v>4</v>
      </c>
      <c r="AF79" t="n">
        <v>1</v>
      </c>
      <c r="AG79" t="n">
        <v>1</v>
      </c>
      <c r="AH79" t="n">
        <v>1</v>
      </c>
      <c r="AI79" t="n">
        <v>1</v>
      </c>
      <c r="AJ79" t="n">
        <v>2</v>
      </c>
      <c r="AK79" t="n">
        <v>2</v>
      </c>
      <c r="AL79" t="n">
        <v>2</v>
      </c>
      <c r="AM79" t="n">
        <v>2</v>
      </c>
      <c r="AN79" t="n">
        <v>0</v>
      </c>
      <c r="AO79" t="n">
        <v>0</v>
      </c>
      <c r="AP79" t="inlineStr">
        <is>
          <t>Yes</t>
        </is>
      </c>
      <c r="AQ79" t="inlineStr">
        <is>
          <t>No</t>
        </is>
      </c>
      <c r="AR79">
        <f>HYPERLINK("http://catalog.hathitrust.org/Record/006593337","HathiTrust Record")</f>
        <v/>
      </c>
      <c r="AS79">
        <f>HYPERLINK("https://creighton-primo.hosted.exlibrisgroup.com/primo-explore/search?tab=default_tab&amp;search_scope=EVERYTHING&amp;vid=01CRU&amp;lang=en_US&amp;offset=0&amp;query=any,contains,991004317659702656","Catalog Record")</f>
        <v/>
      </c>
      <c r="AT79">
        <f>HYPERLINK("http://www.worldcat.org/oclc/3010808","WorldCat Record")</f>
        <v/>
      </c>
      <c r="AU79" t="inlineStr">
        <is>
          <t>6924307:rus</t>
        </is>
      </c>
      <c r="AV79" t="inlineStr">
        <is>
          <t>3010808</t>
        </is>
      </c>
      <c r="AW79" t="inlineStr">
        <is>
          <t>991004317659702656</t>
        </is>
      </c>
      <c r="AX79" t="inlineStr">
        <is>
          <t>991004317659702656</t>
        </is>
      </c>
      <c r="AY79" t="inlineStr">
        <is>
          <t>2270666550002656</t>
        </is>
      </c>
      <c r="AZ79" t="inlineStr">
        <is>
          <t>BOOK</t>
        </is>
      </c>
      <c r="BC79" t="inlineStr">
        <is>
          <t>32285000954445</t>
        </is>
      </c>
      <c r="BD79" t="inlineStr">
        <is>
          <t>893794716</t>
        </is>
      </c>
    </row>
    <row r="80">
      <c r="A80" t="inlineStr">
        <is>
          <t>No</t>
        </is>
      </c>
      <c r="B80" t="inlineStr">
        <is>
          <t>PG2111 .S45 1942</t>
        </is>
      </c>
      <c r="C80" t="inlineStr">
        <is>
          <t>0                      PG 2111000S  45          1942</t>
        </is>
      </c>
      <c r="D80" t="inlineStr">
        <is>
          <t>A new Russian grammar in two parts, by Anna H. Semeonoff ...</t>
        </is>
      </c>
      <c r="F80" t="inlineStr">
        <is>
          <t>No</t>
        </is>
      </c>
      <c r="G80" t="inlineStr">
        <is>
          <t>1</t>
        </is>
      </c>
      <c r="H80" t="inlineStr">
        <is>
          <t>No</t>
        </is>
      </c>
      <c r="I80" t="inlineStr">
        <is>
          <t>No</t>
        </is>
      </c>
      <c r="J80" t="inlineStr">
        <is>
          <t>0</t>
        </is>
      </c>
      <c r="K80" t="inlineStr">
        <is>
          <t>Semeonoff, Anna H. (Anna Hering), 1883-</t>
        </is>
      </c>
      <c r="L80" t="inlineStr">
        <is>
          <t>New York, E.P. Dutton &amp; Co. inc. [1942]</t>
        </is>
      </c>
      <c r="M80" t="inlineStr">
        <is>
          <t>1942</t>
        </is>
      </c>
      <c r="N80" t="inlineStr">
        <is>
          <t>4th rev. ed.</t>
        </is>
      </c>
      <c r="O80" t="inlineStr">
        <is>
          <t>rus</t>
        </is>
      </c>
      <c r="P80" t="inlineStr">
        <is>
          <t>nyu</t>
        </is>
      </c>
      <c r="R80" t="inlineStr">
        <is>
          <t xml:space="preserve">PG </t>
        </is>
      </c>
      <c r="S80" t="n">
        <v>3</v>
      </c>
      <c r="T80" t="n">
        <v>3</v>
      </c>
      <c r="U80" t="inlineStr">
        <is>
          <t>1997-12-12</t>
        </is>
      </c>
      <c r="V80" t="inlineStr">
        <is>
          <t>1997-12-12</t>
        </is>
      </c>
      <c r="W80" t="inlineStr">
        <is>
          <t>1997-10-01</t>
        </is>
      </c>
      <c r="X80" t="inlineStr">
        <is>
          <t>1997-10-01</t>
        </is>
      </c>
      <c r="Y80" t="n">
        <v>182</v>
      </c>
      <c r="Z80" t="n">
        <v>172</v>
      </c>
      <c r="AA80" t="n">
        <v>308</v>
      </c>
      <c r="AB80" t="n">
        <v>1</v>
      </c>
      <c r="AC80" t="n">
        <v>2</v>
      </c>
      <c r="AD80" t="n">
        <v>7</v>
      </c>
      <c r="AE80" t="n">
        <v>12</v>
      </c>
      <c r="AF80" t="n">
        <v>4</v>
      </c>
      <c r="AG80" t="n">
        <v>5</v>
      </c>
      <c r="AH80" t="n">
        <v>1</v>
      </c>
      <c r="AI80" t="n">
        <v>4</v>
      </c>
      <c r="AJ80" t="n">
        <v>5</v>
      </c>
      <c r="AK80" t="n">
        <v>6</v>
      </c>
      <c r="AL80" t="n">
        <v>0</v>
      </c>
      <c r="AM80" t="n">
        <v>1</v>
      </c>
      <c r="AN80" t="n">
        <v>0</v>
      </c>
      <c r="AO80" t="n">
        <v>0</v>
      </c>
      <c r="AP80" t="inlineStr">
        <is>
          <t>No</t>
        </is>
      </c>
      <c r="AQ80" t="inlineStr">
        <is>
          <t>No</t>
        </is>
      </c>
      <c r="AS80">
        <f>HYPERLINK("https://creighton-primo.hosted.exlibrisgroup.com/primo-explore/search?tab=default_tab&amp;search_scope=EVERYTHING&amp;vid=01CRU&amp;lang=en_US&amp;offset=0&amp;query=any,contains,991002964509702656","Catalog Record")</f>
        <v/>
      </c>
      <c r="AT80">
        <f>HYPERLINK("http://www.worldcat.org/oclc/545346","WorldCat Record")</f>
        <v/>
      </c>
      <c r="AU80" t="inlineStr">
        <is>
          <t>69897540:rus</t>
        </is>
      </c>
      <c r="AV80" t="inlineStr">
        <is>
          <t>545346</t>
        </is>
      </c>
      <c r="AW80" t="inlineStr">
        <is>
          <t>991002964509702656</t>
        </is>
      </c>
      <c r="AX80" t="inlineStr">
        <is>
          <t>991002964509702656</t>
        </is>
      </c>
      <c r="AY80" t="inlineStr">
        <is>
          <t>2264381270002656</t>
        </is>
      </c>
      <c r="AZ80" t="inlineStr">
        <is>
          <t>BOOK</t>
        </is>
      </c>
      <c r="BC80" t="inlineStr">
        <is>
          <t>32285003249967</t>
        </is>
      </c>
      <c r="BD80" t="inlineStr">
        <is>
          <t>893886971</t>
        </is>
      </c>
    </row>
    <row r="81">
      <c r="A81" t="inlineStr">
        <is>
          <t>No</t>
        </is>
      </c>
      <c r="B81" t="inlineStr">
        <is>
          <t>PG2111 .U453 1967</t>
        </is>
      </c>
      <c r="C81" t="inlineStr">
        <is>
          <t>0                      PG 2111000U  453         1967</t>
        </is>
      </c>
      <c r="D81" t="inlineStr">
        <is>
          <t>Russian grammar / by B. O. Unbegaun.</t>
        </is>
      </c>
      <c r="F81" t="inlineStr">
        <is>
          <t>No</t>
        </is>
      </c>
      <c r="G81" t="inlineStr">
        <is>
          <t>1</t>
        </is>
      </c>
      <c r="H81" t="inlineStr">
        <is>
          <t>No</t>
        </is>
      </c>
      <c r="I81" t="inlineStr">
        <is>
          <t>No</t>
        </is>
      </c>
      <c r="J81" t="inlineStr">
        <is>
          <t>0</t>
        </is>
      </c>
      <c r="K81" t="inlineStr">
        <is>
          <t>Unbegaun, Boris Ottokar, 1898-1973.</t>
        </is>
      </c>
      <c r="L81" t="inlineStr">
        <is>
          <t>Oxford : Clarendon Press, 1957, 1967 printing.</t>
        </is>
      </c>
      <c r="M81" t="inlineStr">
        <is>
          <t>1967</t>
        </is>
      </c>
      <c r="O81" t="inlineStr">
        <is>
          <t>eng</t>
        </is>
      </c>
      <c r="P81" t="inlineStr">
        <is>
          <t>enk</t>
        </is>
      </c>
      <c r="R81" t="inlineStr">
        <is>
          <t xml:space="preserve">PG </t>
        </is>
      </c>
      <c r="S81" t="n">
        <v>2</v>
      </c>
      <c r="T81" t="n">
        <v>2</v>
      </c>
      <c r="U81" t="inlineStr">
        <is>
          <t>1997-12-12</t>
        </is>
      </c>
      <c r="V81" t="inlineStr">
        <is>
          <t>1997-12-12</t>
        </is>
      </c>
      <c r="W81" t="inlineStr">
        <is>
          <t>1997-10-01</t>
        </is>
      </c>
      <c r="X81" t="inlineStr">
        <is>
          <t>1997-10-01</t>
        </is>
      </c>
      <c r="Y81" t="n">
        <v>83</v>
      </c>
      <c r="Z81" t="n">
        <v>65</v>
      </c>
      <c r="AA81" t="n">
        <v>407</v>
      </c>
      <c r="AB81" t="n">
        <v>1</v>
      </c>
      <c r="AC81" t="n">
        <v>2</v>
      </c>
      <c r="AD81" t="n">
        <v>3</v>
      </c>
      <c r="AE81" t="n">
        <v>17</v>
      </c>
      <c r="AF81" t="n">
        <v>1</v>
      </c>
      <c r="AG81" t="n">
        <v>4</v>
      </c>
      <c r="AH81" t="n">
        <v>1</v>
      </c>
      <c r="AI81" t="n">
        <v>6</v>
      </c>
      <c r="AJ81" t="n">
        <v>3</v>
      </c>
      <c r="AK81" t="n">
        <v>10</v>
      </c>
      <c r="AL81" t="n">
        <v>0</v>
      </c>
      <c r="AM81" t="n">
        <v>1</v>
      </c>
      <c r="AN81" t="n">
        <v>0</v>
      </c>
      <c r="AO81" t="n">
        <v>0</v>
      </c>
      <c r="AP81" t="inlineStr">
        <is>
          <t>No</t>
        </is>
      </c>
      <c r="AQ81" t="inlineStr">
        <is>
          <t>No</t>
        </is>
      </c>
      <c r="AS81">
        <f>HYPERLINK("https://creighton-primo.hosted.exlibrisgroup.com/primo-explore/search?tab=default_tab&amp;search_scope=EVERYTHING&amp;vid=01CRU&amp;lang=en_US&amp;offset=0&amp;query=any,contains,991003977749702656","Catalog Record")</f>
        <v/>
      </c>
      <c r="AT81">
        <f>HYPERLINK("http://www.worldcat.org/oclc/2010982","WorldCat Record")</f>
        <v/>
      </c>
      <c r="AU81" t="inlineStr">
        <is>
          <t>652442:eng</t>
        </is>
      </c>
      <c r="AV81" t="inlineStr">
        <is>
          <t>2010982</t>
        </is>
      </c>
      <c r="AW81" t="inlineStr">
        <is>
          <t>991003977749702656</t>
        </is>
      </c>
      <c r="AX81" t="inlineStr">
        <is>
          <t>991003977749702656</t>
        </is>
      </c>
      <c r="AY81" t="inlineStr">
        <is>
          <t>2265643210002656</t>
        </is>
      </c>
      <c r="AZ81" t="inlineStr">
        <is>
          <t>BOOK</t>
        </is>
      </c>
      <c r="BC81" t="inlineStr">
        <is>
          <t>32285003249975</t>
        </is>
      </c>
      <c r="BD81" t="inlineStr">
        <is>
          <t>893775454</t>
        </is>
      </c>
    </row>
    <row r="82">
      <c r="A82" t="inlineStr">
        <is>
          <t>No</t>
        </is>
      </c>
      <c r="B82" t="inlineStr">
        <is>
          <t>PG2118 .L87 1992</t>
        </is>
      </c>
      <c r="C82" t="inlineStr">
        <is>
          <t>0                      PG 2118000L  87          1992</t>
        </is>
      </c>
      <c r="D82" t="inlineStr">
        <is>
          <t>Russian grammar / by Natalia Lusin.</t>
        </is>
      </c>
      <c r="F82" t="inlineStr">
        <is>
          <t>No</t>
        </is>
      </c>
      <c r="G82" t="inlineStr">
        <is>
          <t>1</t>
        </is>
      </c>
      <c r="H82" t="inlineStr">
        <is>
          <t>No</t>
        </is>
      </c>
      <c r="I82" t="inlineStr">
        <is>
          <t>No</t>
        </is>
      </c>
      <c r="J82" t="inlineStr">
        <is>
          <t>0</t>
        </is>
      </c>
      <c r="K82" t="inlineStr">
        <is>
          <t>Lusin, Natalia.</t>
        </is>
      </c>
      <c r="L82" t="inlineStr">
        <is>
          <t>Hauppauge, NY : Barron's Educational Series, c1992.</t>
        </is>
      </c>
      <c r="M82" t="inlineStr">
        <is>
          <t>1992</t>
        </is>
      </c>
      <c r="O82" t="inlineStr">
        <is>
          <t>eng</t>
        </is>
      </c>
      <c r="P82" t="inlineStr">
        <is>
          <t>nyu</t>
        </is>
      </c>
      <c r="R82" t="inlineStr">
        <is>
          <t xml:space="preserve">PG </t>
        </is>
      </c>
      <c r="S82" t="n">
        <v>3</v>
      </c>
      <c r="T82" t="n">
        <v>3</v>
      </c>
      <c r="U82" t="inlineStr">
        <is>
          <t>2010-06-30</t>
        </is>
      </c>
      <c r="V82" t="inlineStr">
        <is>
          <t>2010-06-30</t>
        </is>
      </c>
      <c r="W82" t="inlineStr">
        <is>
          <t>1999-04-29</t>
        </is>
      </c>
      <c r="X82" t="inlineStr">
        <is>
          <t>1999-04-29</t>
        </is>
      </c>
      <c r="Y82" t="n">
        <v>161</v>
      </c>
      <c r="Z82" t="n">
        <v>152</v>
      </c>
      <c r="AA82" t="n">
        <v>157</v>
      </c>
      <c r="AB82" t="n">
        <v>2</v>
      </c>
      <c r="AC82" t="n">
        <v>2</v>
      </c>
      <c r="AD82" t="n">
        <v>0</v>
      </c>
      <c r="AE82" t="n">
        <v>0</v>
      </c>
      <c r="AF82" t="n">
        <v>0</v>
      </c>
      <c r="AG82" t="n">
        <v>0</v>
      </c>
      <c r="AH82" t="n">
        <v>0</v>
      </c>
      <c r="AI82" t="n">
        <v>0</v>
      </c>
      <c r="AJ82" t="n">
        <v>0</v>
      </c>
      <c r="AK82" t="n">
        <v>0</v>
      </c>
      <c r="AL82" t="n">
        <v>0</v>
      </c>
      <c r="AM82" t="n">
        <v>0</v>
      </c>
      <c r="AN82" t="n">
        <v>0</v>
      </c>
      <c r="AO82" t="n">
        <v>0</v>
      </c>
      <c r="AP82" t="inlineStr">
        <is>
          <t>No</t>
        </is>
      </c>
      <c r="AQ82" t="inlineStr">
        <is>
          <t>No</t>
        </is>
      </c>
      <c r="AS82">
        <f>HYPERLINK("https://creighton-primo.hosted.exlibrisgroup.com/primo-explore/search?tab=default_tab&amp;search_scope=EVERYTHING&amp;vid=01CRU&amp;lang=en_US&amp;offset=0&amp;query=any,contains,991001958039702656","Catalog Record")</f>
        <v/>
      </c>
      <c r="AT82">
        <f>HYPERLINK("http://www.worldcat.org/oclc/24795551","WorldCat Record")</f>
        <v/>
      </c>
      <c r="AU82" t="inlineStr">
        <is>
          <t>3856705992:eng</t>
        </is>
      </c>
      <c r="AV82" t="inlineStr">
        <is>
          <t>24795551</t>
        </is>
      </c>
      <c r="AW82" t="inlineStr">
        <is>
          <t>991001958039702656</t>
        </is>
      </c>
      <c r="AX82" t="inlineStr">
        <is>
          <t>991001958039702656</t>
        </is>
      </c>
      <c r="AY82" t="inlineStr">
        <is>
          <t>2259732060002656</t>
        </is>
      </c>
      <c r="AZ82" t="inlineStr">
        <is>
          <t>BOOK</t>
        </is>
      </c>
      <c r="BB82" t="inlineStr">
        <is>
          <t>9780812049022</t>
        </is>
      </c>
      <c r="BC82" t="inlineStr">
        <is>
          <t>32285003558045</t>
        </is>
      </c>
      <c r="BD82" t="inlineStr">
        <is>
          <t>893316206</t>
        </is>
      </c>
    </row>
    <row r="83">
      <c r="A83" t="inlineStr">
        <is>
          <t>No</t>
        </is>
      </c>
      <c r="B83" t="inlineStr">
        <is>
          <t>PG2120.C6 T56 1999</t>
        </is>
      </c>
      <c r="C83" t="inlineStr">
        <is>
          <t>0                      PG 2120000C  6                  T  56          1999</t>
        </is>
      </c>
      <c r="D83" t="inlineStr">
        <is>
          <t>Doing business in Russia : let's speak in Russian / Galina Timofeeva.</t>
        </is>
      </c>
      <c r="F83" t="inlineStr">
        <is>
          <t>No</t>
        </is>
      </c>
      <c r="G83" t="inlineStr">
        <is>
          <t>1</t>
        </is>
      </c>
      <c r="H83" t="inlineStr">
        <is>
          <t>No</t>
        </is>
      </c>
      <c r="I83" t="inlineStr">
        <is>
          <t>No</t>
        </is>
      </c>
      <c r="J83" t="inlineStr">
        <is>
          <t>0</t>
        </is>
      </c>
      <c r="K83" t="inlineStr">
        <is>
          <t>Timofeeva, G. G. (Galina Grigorʹevna)</t>
        </is>
      </c>
      <c r="L83" t="inlineStr">
        <is>
          <t>Lanham, MD : University Press of America, c1999.</t>
        </is>
      </c>
      <c r="M83" t="inlineStr">
        <is>
          <t>1999</t>
        </is>
      </c>
      <c r="O83" t="inlineStr">
        <is>
          <t>eng</t>
        </is>
      </c>
      <c r="P83" t="inlineStr">
        <is>
          <t>mdu</t>
        </is>
      </c>
      <c r="R83" t="inlineStr">
        <is>
          <t xml:space="preserve">PG </t>
        </is>
      </c>
      <c r="S83" t="n">
        <v>1</v>
      </c>
      <c r="T83" t="n">
        <v>1</v>
      </c>
      <c r="U83" t="inlineStr">
        <is>
          <t>2004-08-23</t>
        </is>
      </c>
      <c r="V83" t="inlineStr">
        <is>
          <t>2004-08-23</t>
        </is>
      </c>
      <c r="W83" t="inlineStr">
        <is>
          <t>2004-08-23</t>
        </is>
      </c>
      <c r="X83" t="inlineStr">
        <is>
          <t>2004-08-23</t>
        </is>
      </c>
      <c r="Y83" t="n">
        <v>136</v>
      </c>
      <c r="Z83" t="n">
        <v>125</v>
      </c>
      <c r="AA83" t="n">
        <v>126</v>
      </c>
      <c r="AB83" t="n">
        <v>3</v>
      </c>
      <c r="AC83" t="n">
        <v>3</v>
      </c>
      <c r="AD83" t="n">
        <v>7</v>
      </c>
      <c r="AE83" t="n">
        <v>7</v>
      </c>
      <c r="AF83" t="n">
        <v>0</v>
      </c>
      <c r="AG83" t="n">
        <v>0</v>
      </c>
      <c r="AH83" t="n">
        <v>2</v>
      </c>
      <c r="AI83" t="n">
        <v>2</v>
      </c>
      <c r="AJ83" t="n">
        <v>4</v>
      </c>
      <c r="AK83" t="n">
        <v>4</v>
      </c>
      <c r="AL83" t="n">
        <v>2</v>
      </c>
      <c r="AM83" t="n">
        <v>2</v>
      </c>
      <c r="AN83" t="n">
        <v>0</v>
      </c>
      <c r="AO83" t="n">
        <v>0</v>
      </c>
      <c r="AP83" t="inlineStr">
        <is>
          <t>No</t>
        </is>
      </c>
      <c r="AQ83" t="inlineStr">
        <is>
          <t>No</t>
        </is>
      </c>
      <c r="AS83">
        <f>HYPERLINK("https://creighton-primo.hosted.exlibrisgroup.com/primo-explore/search?tab=default_tab&amp;search_scope=EVERYTHING&amp;vid=01CRU&amp;lang=en_US&amp;offset=0&amp;query=any,contains,991004346999702656","Catalog Record")</f>
        <v/>
      </c>
      <c r="AT83">
        <f>HYPERLINK("http://www.worldcat.org/oclc/41411984","WorldCat Record")</f>
        <v/>
      </c>
      <c r="AU83" t="inlineStr">
        <is>
          <t>26729919:eng</t>
        </is>
      </c>
      <c r="AV83" t="inlineStr">
        <is>
          <t>41411984</t>
        </is>
      </c>
      <c r="AW83" t="inlineStr">
        <is>
          <t>991004346999702656</t>
        </is>
      </c>
      <c r="AX83" t="inlineStr">
        <is>
          <t>991004346999702656</t>
        </is>
      </c>
      <c r="AY83" t="inlineStr">
        <is>
          <t>2259384170002656</t>
        </is>
      </c>
      <c r="AZ83" t="inlineStr">
        <is>
          <t>BOOK</t>
        </is>
      </c>
      <c r="BB83" t="inlineStr">
        <is>
          <t>9780761814498</t>
        </is>
      </c>
      <c r="BC83" t="inlineStr">
        <is>
          <t>32285004982806</t>
        </is>
      </c>
      <c r="BD83" t="inlineStr">
        <is>
          <t>893500444</t>
        </is>
      </c>
    </row>
    <row r="84">
      <c r="A84" t="inlineStr">
        <is>
          <t>No</t>
        </is>
      </c>
      <c r="B84" t="inlineStr">
        <is>
          <t>PG2128 .P45 1994</t>
        </is>
      </c>
      <c r="C84" t="inlineStr">
        <is>
          <t>0                      PG 2128000P  45          1994</t>
        </is>
      </c>
      <c r="D84" t="inlineStr">
        <is>
          <t>Russian grammar in illustrations / K.I. Pekhlivanova, M.N. Lebedeva.</t>
        </is>
      </c>
      <c r="F84" t="inlineStr">
        <is>
          <t>No</t>
        </is>
      </c>
      <c r="G84" t="inlineStr">
        <is>
          <t>1</t>
        </is>
      </c>
      <c r="H84" t="inlineStr">
        <is>
          <t>No</t>
        </is>
      </c>
      <c r="I84" t="inlineStr">
        <is>
          <t>No</t>
        </is>
      </c>
      <c r="J84" t="inlineStr">
        <is>
          <t>0</t>
        </is>
      </c>
      <c r="K84" t="inlineStr">
        <is>
          <t>Pekhlivanova, K. I. (Kira Iordanovna)</t>
        </is>
      </c>
      <c r="L84" t="inlineStr">
        <is>
          <t>Moscow : Russky Yazyk Publishers, 1994.</t>
        </is>
      </c>
      <c r="M84" t="inlineStr">
        <is>
          <t>1994</t>
        </is>
      </c>
      <c r="N84" t="inlineStr">
        <is>
          <t>2nd stereotype ed.</t>
        </is>
      </c>
      <c r="O84" t="inlineStr">
        <is>
          <t>rus</t>
        </is>
      </c>
      <c r="P84" t="inlineStr">
        <is>
          <t xml:space="preserve">ru </t>
        </is>
      </c>
      <c r="R84" t="inlineStr">
        <is>
          <t xml:space="preserve">PG </t>
        </is>
      </c>
      <c r="S84" t="n">
        <v>0</v>
      </c>
      <c r="T84" t="n">
        <v>0</v>
      </c>
      <c r="U84" t="inlineStr">
        <is>
          <t>2007-02-15</t>
        </is>
      </c>
      <c r="V84" t="inlineStr">
        <is>
          <t>2007-02-15</t>
        </is>
      </c>
      <c r="W84" t="inlineStr">
        <is>
          <t>1999-06-02</t>
        </is>
      </c>
      <c r="X84" t="inlineStr">
        <is>
          <t>1999-06-02</t>
        </is>
      </c>
      <c r="Y84" t="n">
        <v>38</v>
      </c>
      <c r="Z84" t="n">
        <v>28</v>
      </c>
      <c r="AA84" t="n">
        <v>46</v>
      </c>
      <c r="AB84" t="n">
        <v>1</v>
      </c>
      <c r="AC84" t="n">
        <v>2</v>
      </c>
      <c r="AD84" t="n">
        <v>0</v>
      </c>
      <c r="AE84" t="n">
        <v>1</v>
      </c>
      <c r="AF84" t="n">
        <v>0</v>
      </c>
      <c r="AG84" t="n">
        <v>0</v>
      </c>
      <c r="AH84" t="n">
        <v>0</v>
      </c>
      <c r="AI84" t="n">
        <v>0</v>
      </c>
      <c r="AJ84" t="n">
        <v>0</v>
      </c>
      <c r="AK84" t="n">
        <v>0</v>
      </c>
      <c r="AL84" t="n">
        <v>0</v>
      </c>
      <c r="AM84" t="n">
        <v>1</v>
      </c>
      <c r="AN84" t="n">
        <v>0</v>
      </c>
      <c r="AO84" t="n">
        <v>0</v>
      </c>
      <c r="AP84" t="inlineStr">
        <is>
          <t>No</t>
        </is>
      </c>
      <c r="AQ84" t="inlineStr">
        <is>
          <t>No</t>
        </is>
      </c>
      <c r="AS84">
        <f>HYPERLINK("https://creighton-primo.hosted.exlibrisgroup.com/primo-explore/search?tab=default_tab&amp;search_scope=EVERYTHING&amp;vid=01CRU&amp;lang=en_US&amp;offset=0&amp;query=any,contains,991002430169702656","Catalog Record")</f>
        <v/>
      </c>
      <c r="AT84">
        <f>HYPERLINK("http://www.worldcat.org/oclc/31694353","WorldCat Record")</f>
        <v/>
      </c>
      <c r="AU84" t="inlineStr">
        <is>
          <t>10141684512:rus</t>
        </is>
      </c>
      <c r="AV84" t="inlineStr">
        <is>
          <t>31694353</t>
        </is>
      </c>
      <c r="AW84" t="inlineStr">
        <is>
          <t>991002430169702656</t>
        </is>
      </c>
      <c r="AX84" t="inlineStr">
        <is>
          <t>991002430169702656</t>
        </is>
      </c>
      <c r="AY84" t="inlineStr">
        <is>
          <t>2264182000002656</t>
        </is>
      </c>
      <c r="AZ84" t="inlineStr">
        <is>
          <t>BOOK</t>
        </is>
      </c>
      <c r="BC84" t="inlineStr">
        <is>
          <t>32285003572541</t>
        </is>
      </c>
      <c r="BD84" t="inlineStr">
        <is>
          <t>893409089</t>
        </is>
      </c>
    </row>
    <row r="85">
      <c r="A85" t="inlineStr">
        <is>
          <t>No</t>
        </is>
      </c>
      <c r="B85" t="inlineStr">
        <is>
          <t>PG2689 .H56 1994</t>
        </is>
      </c>
      <c r="C85" t="inlineStr">
        <is>
          <t>0                      PG 2689000H  56          1994</t>
        </is>
      </c>
      <c r="D85" t="inlineStr">
        <is>
          <t>Russian vocabulary / Eli Hinkel.</t>
        </is>
      </c>
      <c r="F85" t="inlineStr">
        <is>
          <t>No</t>
        </is>
      </c>
      <c r="G85" t="inlineStr">
        <is>
          <t>1</t>
        </is>
      </c>
      <c r="H85" t="inlineStr">
        <is>
          <t>No</t>
        </is>
      </c>
      <c r="I85" t="inlineStr">
        <is>
          <t>No</t>
        </is>
      </c>
      <c r="J85" t="inlineStr">
        <is>
          <t>0</t>
        </is>
      </c>
      <c r="K85" t="inlineStr">
        <is>
          <t>Hinkel, Eli.</t>
        </is>
      </c>
      <c r="L85" t="inlineStr">
        <is>
          <t>Hauppauge, NY : Barron's, c1994.</t>
        </is>
      </c>
      <c r="M85" t="inlineStr">
        <is>
          <t>1994</t>
        </is>
      </c>
      <c r="O85" t="inlineStr">
        <is>
          <t>eng</t>
        </is>
      </c>
      <c r="P85" t="inlineStr">
        <is>
          <t>nyu</t>
        </is>
      </c>
      <c r="R85" t="inlineStr">
        <is>
          <t xml:space="preserve">PG </t>
        </is>
      </c>
      <c r="S85" t="n">
        <v>7</v>
      </c>
      <c r="T85" t="n">
        <v>7</v>
      </c>
      <c r="U85" t="inlineStr">
        <is>
          <t>2010-09-24</t>
        </is>
      </c>
      <c r="V85" t="inlineStr">
        <is>
          <t>2010-09-24</t>
        </is>
      </c>
      <c r="W85" t="inlineStr">
        <is>
          <t>1999-04-29</t>
        </is>
      </c>
      <c r="X85" t="inlineStr">
        <is>
          <t>1999-04-29</t>
        </is>
      </c>
      <c r="Y85" t="n">
        <v>100</v>
      </c>
      <c r="Z85" t="n">
        <v>89</v>
      </c>
      <c r="AA85" t="n">
        <v>145</v>
      </c>
      <c r="AB85" t="n">
        <v>1</v>
      </c>
      <c r="AC85" t="n">
        <v>1</v>
      </c>
      <c r="AD85" t="n">
        <v>2</v>
      </c>
      <c r="AE85" t="n">
        <v>2</v>
      </c>
      <c r="AF85" t="n">
        <v>0</v>
      </c>
      <c r="AG85" t="n">
        <v>0</v>
      </c>
      <c r="AH85" t="n">
        <v>1</v>
      </c>
      <c r="AI85" t="n">
        <v>1</v>
      </c>
      <c r="AJ85" t="n">
        <v>2</v>
      </c>
      <c r="AK85" t="n">
        <v>2</v>
      </c>
      <c r="AL85" t="n">
        <v>0</v>
      </c>
      <c r="AM85" t="n">
        <v>0</v>
      </c>
      <c r="AN85" t="n">
        <v>0</v>
      </c>
      <c r="AO85" t="n">
        <v>0</v>
      </c>
      <c r="AP85" t="inlineStr">
        <is>
          <t>No</t>
        </is>
      </c>
      <c r="AQ85" t="inlineStr">
        <is>
          <t>Yes</t>
        </is>
      </c>
      <c r="AR85">
        <f>HYPERLINK("http://catalog.hathitrust.org/Record/007015213","HathiTrust Record")</f>
        <v/>
      </c>
      <c r="AS85">
        <f>HYPERLINK("https://creighton-primo.hosted.exlibrisgroup.com/primo-explore/search?tab=default_tab&amp;search_scope=EVERYTHING&amp;vid=01CRU&amp;lang=en_US&amp;offset=0&amp;query=any,contains,991002230429702656","Catalog Record")</f>
        <v/>
      </c>
      <c r="AT85">
        <f>HYPERLINK("http://www.worldcat.org/oclc/28722028","WorldCat Record")</f>
        <v/>
      </c>
      <c r="AU85" t="inlineStr">
        <is>
          <t>31162612:eng</t>
        </is>
      </c>
      <c r="AV85" t="inlineStr">
        <is>
          <t>28722028</t>
        </is>
      </c>
      <c r="AW85" t="inlineStr">
        <is>
          <t>991002230429702656</t>
        </is>
      </c>
      <c r="AX85" t="inlineStr">
        <is>
          <t>991002230429702656</t>
        </is>
      </c>
      <c r="AY85" t="inlineStr">
        <is>
          <t>2265627930002656</t>
        </is>
      </c>
      <c r="AZ85" t="inlineStr">
        <is>
          <t>BOOK</t>
        </is>
      </c>
      <c r="BB85" t="inlineStr">
        <is>
          <t>9780812015546</t>
        </is>
      </c>
      <c r="BC85" t="inlineStr">
        <is>
          <t>32285003558037</t>
        </is>
      </c>
      <c r="BD85" t="inlineStr">
        <is>
          <t>893504163</t>
        </is>
      </c>
    </row>
    <row r="86">
      <c r="A86" t="inlineStr">
        <is>
          <t>No</t>
        </is>
      </c>
      <c r="B86" t="inlineStr">
        <is>
          <t>PG2932 .T9</t>
        </is>
      </c>
      <c r="C86" t="inlineStr">
        <is>
          <t>0                      PG 2932000T  9</t>
        </is>
      </c>
      <c r="D86" t="inlineStr">
        <is>
          <t>Twentieth-century Russian literary criticism / edited by Victor Erlich.</t>
        </is>
      </c>
      <c r="F86" t="inlineStr">
        <is>
          <t>No</t>
        </is>
      </c>
      <c r="G86" t="inlineStr">
        <is>
          <t>1</t>
        </is>
      </c>
      <c r="H86" t="inlineStr">
        <is>
          <t>No</t>
        </is>
      </c>
      <c r="I86" t="inlineStr">
        <is>
          <t>No</t>
        </is>
      </c>
      <c r="J86" t="inlineStr">
        <is>
          <t>0</t>
        </is>
      </c>
      <c r="L86" t="inlineStr">
        <is>
          <t>New Haven : Yale University Press, 1975.</t>
        </is>
      </c>
      <c r="M86" t="inlineStr">
        <is>
          <t>1975</t>
        </is>
      </c>
      <c r="O86" t="inlineStr">
        <is>
          <t>eng</t>
        </is>
      </c>
      <c r="P86" t="inlineStr">
        <is>
          <t>ctu</t>
        </is>
      </c>
      <c r="R86" t="inlineStr">
        <is>
          <t xml:space="preserve">PG </t>
        </is>
      </c>
      <c r="S86" t="n">
        <v>4</v>
      </c>
      <c r="T86" t="n">
        <v>4</v>
      </c>
      <c r="U86" t="inlineStr">
        <is>
          <t>2000-09-13</t>
        </is>
      </c>
      <c r="V86" t="inlineStr">
        <is>
          <t>2000-09-13</t>
        </is>
      </c>
      <c r="W86" t="inlineStr">
        <is>
          <t>1997-10-02</t>
        </is>
      </c>
      <c r="X86" t="inlineStr">
        <is>
          <t>1997-10-02</t>
        </is>
      </c>
      <c r="Y86" t="n">
        <v>865</v>
      </c>
      <c r="Z86" t="n">
        <v>731</v>
      </c>
      <c r="AA86" t="n">
        <v>763</v>
      </c>
      <c r="AB86" t="n">
        <v>5</v>
      </c>
      <c r="AC86" t="n">
        <v>6</v>
      </c>
      <c r="AD86" t="n">
        <v>34</v>
      </c>
      <c r="AE86" t="n">
        <v>36</v>
      </c>
      <c r="AF86" t="n">
        <v>12</v>
      </c>
      <c r="AG86" t="n">
        <v>13</v>
      </c>
      <c r="AH86" t="n">
        <v>10</v>
      </c>
      <c r="AI86" t="n">
        <v>10</v>
      </c>
      <c r="AJ86" t="n">
        <v>17</v>
      </c>
      <c r="AK86" t="n">
        <v>18</v>
      </c>
      <c r="AL86" t="n">
        <v>4</v>
      </c>
      <c r="AM86" t="n">
        <v>5</v>
      </c>
      <c r="AN86" t="n">
        <v>0</v>
      </c>
      <c r="AO86" t="n">
        <v>0</v>
      </c>
      <c r="AP86" t="inlineStr">
        <is>
          <t>No</t>
        </is>
      </c>
      <c r="AQ86" t="inlineStr">
        <is>
          <t>Yes</t>
        </is>
      </c>
      <c r="AR86">
        <f>HYPERLINK("http://catalog.hathitrust.org/Record/000036945","HathiTrust Record")</f>
        <v/>
      </c>
      <c r="AS86">
        <f>HYPERLINK("https://creighton-primo.hosted.exlibrisgroup.com/primo-explore/search?tab=default_tab&amp;search_scope=EVERYTHING&amp;vid=01CRU&amp;lang=en_US&amp;offset=0&amp;query=any,contains,991003882099702656","Catalog Record")</f>
        <v/>
      </c>
      <c r="AT86">
        <f>HYPERLINK("http://www.worldcat.org/oclc/1730146","WorldCat Record")</f>
        <v/>
      </c>
      <c r="AU86" t="inlineStr">
        <is>
          <t>140880577:eng</t>
        </is>
      </c>
      <c r="AV86" t="inlineStr">
        <is>
          <t>1730146</t>
        </is>
      </c>
      <c r="AW86" t="inlineStr">
        <is>
          <t>991003882099702656</t>
        </is>
      </c>
      <c r="AX86" t="inlineStr">
        <is>
          <t>991003882099702656</t>
        </is>
      </c>
      <c r="AY86" t="inlineStr">
        <is>
          <t>2257766730002656</t>
        </is>
      </c>
      <c r="AZ86" t="inlineStr">
        <is>
          <t>BOOK</t>
        </is>
      </c>
      <c r="BB86" t="inlineStr">
        <is>
          <t>9780300018639</t>
        </is>
      </c>
      <c r="BC86" t="inlineStr">
        <is>
          <t>32285003238549</t>
        </is>
      </c>
      <c r="BD86" t="inlineStr">
        <is>
          <t>893435591</t>
        </is>
      </c>
    </row>
    <row r="87">
      <c r="A87" t="inlineStr">
        <is>
          <t>No</t>
        </is>
      </c>
      <c r="B87" t="inlineStr">
        <is>
          <t>PG2947.B3 L63 1990</t>
        </is>
      </c>
      <c r="C87" t="inlineStr">
        <is>
          <t>0                      PG 2947000B  3                  L  63          1990</t>
        </is>
      </c>
      <c r="D87" t="inlineStr">
        <is>
          <t>After Bakhtin : essays on fiction and criticism / David Lodge.</t>
        </is>
      </c>
      <c r="F87" t="inlineStr">
        <is>
          <t>No</t>
        </is>
      </c>
      <c r="G87" t="inlineStr">
        <is>
          <t>1</t>
        </is>
      </c>
      <c r="H87" t="inlineStr">
        <is>
          <t>No</t>
        </is>
      </c>
      <c r="I87" t="inlineStr">
        <is>
          <t>No</t>
        </is>
      </c>
      <c r="J87" t="inlineStr">
        <is>
          <t>0</t>
        </is>
      </c>
      <c r="K87" t="inlineStr">
        <is>
          <t>Lodge, David, 1935-</t>
        </is>
      </c>
      <c r="L87" t="inlineStr">
        <is>
          <t>London ; New York : Routledge, 1990.</t>
        </is>
      </c>
      <c r="M87" t="inlineStr">
        <is>
          <t>1990</t>
        </is>
      </c>
      <c r="O87" t="inlineStr">
        <is>
          <t>eng</t>
        </is>
      </c>
      <c r="P87" t="inlineStr">
        <is>
          <t>enk</t>
        </is>
      </c>
      <c r="R87" t="inlineStr">
        <is>
          <t xml:space="preserve">PG </t>
        </is>
      </c>
      <c r="S87" t="n">
        <v>2</v>
      </c>
      <c r="T87" t="n">
        <v>2</v>
      </c>
      <c r="U87" t="inlineStr">
        <is>
          <t>2005-05-02</t>
        </is>
      </c>
      <c r="V87" t="inlineStr">
        <is>
          <t>2005-05-02</t>
        </is>
      </c>
      <c r="W87" t="inlineStr">
        <is>
          <t>1990-12-04</t>
        </is>
      </c>
      <c r="X87" t="inlineStr">
        <is>
          <t>1990-12-04</t>
        </is>
      </c>
      <c r="Y87" t="n">
        <v>673</v>
      </c>
      <c r="Z87" t="n">
        <v>431</v>
      </c>
      <c r="AA87" t="n">
        <v>432</v>
      </c>
      <c r="AB87" t="n">
        <v>3</v>
      </c>
      <c r="AC87" t="n">
        <v>3</v>
      </c>
      <c r="AD87" t="n">
        <v>29</v>
      </c>
      <c r="AE87" t="n">
        <v>29</v>
      </c>
      <c r="AF87" t="n">
        <v>9</v>
      </c>
      <c r="AG87" t="n">
        <v>9</v>
      </c>
      <c r="AH87" t="n">
        <v>8</v>
      </c>
      <c r="AI87" t="n">
        <v>8</v>
      </c>
      <c r="AJ87" t="n">
        <v>18</v>
      </c>
      <c r="AK87" t="n">
        <v>18</v>
      </c>
      <c r="AL87" t="n">
        <v>2</v>
      </c>
      <c r="AM87" t="n">
        <v>2</v>
      </c>
      <c r="AN87" t="n">
        <v>0</v>
      </c>
      <c r="AO87" t="n">
        <v>0</v>
      </c>
      <c r="AP87" t="inlineStr">
        <is>
          <t>No</t>
        </is>
      </c>
      <c r="AQ87" t="inlineStr">
        <is>
          <t>No</t>
        </is>
      </c>
      <c r="AS87">
        <f>HYPERLINK("https://creighton-primo.hosted.exlibrisgroup.com/primo-explore/search?tab=default_tab&amp;search_scope=EVERYTHING&amp;vid=01CRU&amp;lang=en_US&amp;offset=0&amp;query=any,contains,991001617599702656","Catalog Record")</f>
        <v/>
      </c>
      <c r="AT87">
        <f>HYPERLINK("http://www.worldcat.org/oclc/20799043","WorldCat Record")</f>
        <v/>
      </c>
      <c r="AU87" t="inlineStr">
        <is>
          <t>808349096:eng</t>
        </is>
      </c>
      <c r="AV87" t="inlineStr">
        <is>
          <t>20799043</t>
        </is>
      </c>
      <c r="AW87" t="inlineStr">
        <is>
          <t>991001617599702656</t>
        </is>
      </c>
      <c r="AX87" t="inlineStr">
        <is>
          <t>991001617599702656</t>
        </is>
      </c>
      <c r="AY87" t="inlineStr">
        <is>
          <t>2263067410002656</t>
        </is>
      </c>
      <c r="AZ87" t="inlineStr">
        <is>
          <t>BOOK</t>
        </is>
      </c>
      <c r="BB87" t="inlineStr">
        <is>
          <t>9780415050388</t>
        </is>
      </c>
      <c r="BC87" t="inlineStr">
        <is>
          <t>32285000358134</t>
        </is>
      </c>
      <c r="BD87" t="inlineStr">
        <is>
          <t>893250332</t>
        </is>
      </c>
    </row>
    <row r="88">
      <c r="A88" t="inlineStr">
        <is>
          <t>No</t>
        </is>
      </c>
      <c r="B88" t="inlineStr">
        <is>
          <t>PG2947.B3 Z380 1991</t>
        </is>
      </c>
      <c r="C88" t="inlineStr">
        <is>
          <t>0                      PG 2947000B  3                  Z  380         1991</t>
        </is>
      </c>
      <c r="D88" t="inlineStr">
        <is>
          <t>La posmodernidad y Mijail Bajtin : una poetica dialogica / Iris M. Zavala ; traducción Epicteto Díaz Navarro.</t>
        </is>
      </c>
      <c r="F88" t="inlineStr">
        <is>
          <t>No</t>
        </is>
      </c>
      <c r="G88" t="inlineStr">
        <is>
          <t>1</t>
        </is>
      </c>
      <c r="H88" t="inlineStr">
        <is>
          <t>No</t>
        </is>
      </c>
      <c r="I88" t="inlineStr">
        <is>
          <t>No</t>
        </is>
      </c>
      <c r="J88" t="inlineStr">
        <is>
          <t>0</t>
        </is>
      </c>
      <c r="K88" t="inlineStr">
        <is>
          <t>Zavala, Iris M.</t>
        </is>
      </c>
      <c r="L88" t="inlineStr">
        <is>
          <t>Madrid : Espasa-Calpe, [1991?]</t>
        </is>
      </c>
      <c r="M88" t="inlineStr">
        <is>
          <t>1991</t>
        </is>
      </c>
      <c r="O88" t="inlineStr">
        <is>
          <t>spa</t>
        </is>
      </c>
      <c r="P88" t="inlineStr">
        <is>
          <t xml:space="preserve">sp </t>
        </is>
      </c>
      <c r="Q88" t="inlineStr">
        <is>
          <t>Coleccion Austral. Fililogia ; 169</t>
        </is>
      </c>
      <c r="R88" t="inlineStr">
        <is>
          <t xml:space="preserve">PG </t>
        </is>
      </c>
      <c r="S88" t="n">
        <v>1</v>
      </c>
      <c r="T88" t="n">
        <v>1</v>
      </c>
      <c r="U88" t="inlineStr">
        <is>
          <t>2006-11-29</t>
        </is>
      </c>
      <c r="V88" t="inlineStr">
        <is>
          <t>2006-11-29</t>
        </is>
      </c>
      <c r="W88" t="inlineStr">
        <is>
          <t>2004-08-05</t>
        </is>
      </c>
      <c r="X88" t="inlineStr">
        <is>
          <t>2004-08-05</t>
        </is>
      </c>
      <c r="Y88" t="n">
        <v>57</v>
      </c>
      <c r="Z88" t="n">
        <v>41</v>
      </c>
      <c r="AA88" t="n">
        <v>44</v>
      </c>
      <c r="AB88" t="n">
        <v>1</v>
      </c>
      <c r="AC88" t="n">
        <v>1</v>
      </c>
      <c r="AD88" t="n">
        <v>0</v>
      </c>
      <c r="AE88" t="n">
        <v>0</v>
      </c>
      <c r="AF88" t="n">
        <v>0</v>
      </c>
      <c r="AG88" t="n">
        <v>0</v>
      </c>
      <c r="AH88" t="n">
        <v>0</v>
      </c>
      <c r="AI88" t="n">
        <v>0</v>
      </c>
      <c r="AJ88" t="n">
        <v>0</v>
      </c>
      <c r="AK88" t="n">
        <v>0</v>
      </c>
      <c r="AL88" t="n">
        <v>0</v>
      </c>
      <c r="AM88" t="n">
        <v>0</v>
      </c>
      <c r="AN88" t="n">
        <v>0</v>
      </c>
      <c r="AO88" t="n">
        <v>0</v>
      </c>
      <c r="AP88" t="inlineStr">
        <is>
          <t>No</t>
        </is>
      </c>
      <c r="AQ88" t="inlineStr">
        <is>
          <t>Yes</t>
        </is>
      </c>
      <c r="AR88">
        <f>HYPERLINK("http://catalog.hathitrust.org/Record/002570784","HathiTrust Record")</f>
        <v/>
      </c>
      <c r="AS88">
        <f>HYPERLINK("https://creighton-primo.hosted.exlibrisgroup.com/primo-explore/search?tab=default_tab&amp;search_scope=EVERYTHING&amp;vid=01CRU&amp;lang=en_US&amp;offset=0&amp;query=any,contains,991004341619702656","Catalog Record")</f>
        <v/>
      </c>
      <c r="AT88">
        <f>HYPERLINK("http://www.worldcat.org/oclc/26732875","WorldCat Record")</f>
        <v/>
      </c>
      <c r="AU88" t="inlineStr">
        <is>
          <t>320046360:spa</t>
        </is>
      </c>
      <c r="AV88" t="inlineStr">
        <is>
          <t>26732875</t>
        </is>
      </c>
      <c r="AW88" t="inlineStr">
        <is>
          <t>991004341619702656</t>
        </is>
      </c>
      <c r="AX88" t="inlineStr">
        <is>
          <t>991004341619702656</t>
        </is>
      </c>
      <c r="AY88" t="inlineStr">
        <is>
          <t>2271121420002656</t>
        </is>
      </c>
      <c r="AZ88" t="inlineStr">
        <is>
          <t>BOOK</t>
        </is>
      </c>
      <c r="BB88" t="inlineStr">
        <is>
          <t>9788423919697</t>
        </is>
      </c>
      <c r="BC88" t="inlineStr">
        <is>
          <t>32285004929062</t>
        </is>
      </c>
      <c r="BD88" t="inlineStr">
        <is>
          <t>893593571</t>
        </is>
      </c>
    </row>
    <row r="89">
      <c r="A89" t="inlineStr">
        <is>
          <t>No</t>
        </is>
      </c>
      <c r="B89" t="inlineStr">
        <is>
          <t>PG2951 .B28 1960</t>
        </is>
      </c>
      <c r="C89" t="inlineStr">
        <is>
          <t>0                      PG 2951000B  28          1960</t>
        </is>
      </c>
      <c r="D89" t="inlineStr">
        <is>
          <t>Landmarks in Russian literature.</t>
        </is>
      </c>
      <c r="F89" t="inlineStr">
        <is>
          <t>No</t>
        </is>
      </c>
      <c r="G89" t="inlineStr">
        <is>
          <t>1</t>
        </is>
      </c>
      <c r="H89" t="inlineStr">
        <is>
          <t>No</t>
        </is>
      </c>
      <c r="I89" t="inlineStr">
        <is>
          <t>No</t>
        </is>
      </c>
      <c r="J89" t="inlineStr">
        <is>
          <t>0</t>
        </is>
      </c>
      <c r="K89" t="inlineStr">
        <is>
          <t>Baring, Maurice, 1874-1945.</t>
        </is>
      </c>
      <c r="L89" t="inlineStr">
        <is>
          <t>London, Methuen; New York, Barnes &amp; Noble [1960]</t>
        </is>
      </c>
      <c r="M89" t="inlineStr">
        <is>
          <t>1960</t>
        </is>
      </c>
      <c r="O89" t="inlineStr">
        <is>
          <t>eng</t>
        </is>
      </c>
      <c r="P89" t="inlineStr">
        <is>
          <t>enk</t>
        </is>
      </c>
      <c r="Q89" t="inlineStr">
        <is>
          <t>University paperbacks ; U.P. 7</t>
        </is>
      </c>
      <c r="R89" t="inlineStr">
        <is>
          <t xml:space="preserve">PG </t>
        </is>
      </c>
      <c r="S89" t="n">
        <v>1</v>
      </c>
      <c r="T89" t="n">
        <v>1</v>
      </c>
      <c r="U89" t="inlineStr">
        <is>
          <t>1998-03-24</t>
        </is>
      </c>
      <c r="V89" t="inlineStr">
        <is>
          <t>1998-03-24</t>
        </is>
      </c>
      <c r="W89" t="inlineStr">
        <is>
          <t>1997-10-02</t>
        </is>
      </c>
      <c r="X89" t="inlineStr">
        <is>
          <t>1997-10-02</t>
        </is>
      </c>
      <c r="Y89" t="n">
        <v>644</v>
      </c>
      <c r="Z89" t="n">
        <v>536</v>
      </c>
      <c r="AA89" t="n">
        <v>654</v>
      </c>
      <c r="AB89" t="n">
        <v>4</v>
      </c>
      <c r="AC89" t="n">
        <v>4</v>
      </c>
      <c r="AD89" t="n">
        <v>27</v>
      </c>
      <c r="AE89" t="n">
        <v>32</v>
      </c>
      <c r="AF89" t="n">
        <v>9</v>
      </c>
      <c r="AG89" t="n">
        <v>12</v>
      </c>
      <c r="AH89" t="n">
        <v>6</v>
      </c>
      <c r="AI89" t="n">
        <v>7</v>
      </c>
      <c r="AJ89" t="n">
        <v>16</v>
      </c>
      <c r="AK89" t="n">
        <v>19</v>
      </c>
      <c r="AL89" t="n">
        <v>3</v>
      </c>
      <c r="AM89" t="n">
        <v>3</v>
      </c>
      <c r="AN89" t="n">
        <v>0</v>
      </c>
      <c r="AO89" t="n">
        <v>0</v>
      </c>
      <c r="AP89" t="inlineStr">
        <is>
          <t>No</t>
        </is>
      </c>
      <c r="AQ89" t="inlineStr">
        <is>
          <t>Yes</t>
        </is>
      </c>
      <c r="AR89">
        <f>HYPERLINK("http://catalog.hathitrust.org/Record/001110357","HathiTrust Record")</f>
        <v/>
      </c>
      <c r="AS89">
        <f>HYPERLINK("https://creighton-primo.hosted.exlibrisgroup.com/primo-explore/search?tab=default_tab&amp;search_scope=EVERYTHING&amp;vid=01CRU&amp;lang=en_US&amp;offset=0&amp;query=any,contains,991002165959702656","Catalog Record")</f>
        <v/>
      </c>
      <c r="AT89">
        <f>HYPERLINK("http://www.worldcat.org/oclc/275374","WorldCat Record")</f>
        <v/>
      </c>
      <c r="AU89" t="inlineStr">
        <is>
          <t>1410267:eng</t>
        </is>
      </c>
      <c r="AV89" t="inlineStr">
        <is>
          <t>275374</t>
        </is>
      </c>
      <c r="AW89" t="inlineStr">
        <is>
          <t>991002165959702656</t>
        </is>
      </c>
      <c r="AX89" t="inlineStr">
        <is>
          <t>991002165959702656</t>
        </is>
      </c>
      <c r="AY89" t="inlineStr">
        <is>
          <t>2263274430002656</t>
        </is>
      </c>
      <c r="AZ89" t="inlineStr">
        <is>
          <t>BOOK</t>
        </is>
      </c>
      <c r="BC89" t="inlineStr">
        <is>
          <t>32285003238598</t>
        </is>
      </c>
      <c r="BD89" t="inlineStr">
        <is>
          <t>893716134</t>
        </is>
      </c>
    </row>
    <row r="90">
      <c r="A90" t="inlineStr">
        <is>
          <t>No</t>
        </is>
      </c>
      <c r="B90" t="inlineStr">
        <is>
          <t>PG2951 .M49 1958</t>
        </is>
      </c>
      <c r="C90" t="inlineStr">
        <is>
          <t>0                      PG 2951000M  49          1958</t>
        </is>
      </c>
      <c r="D90" t="inlineStr">
        <is>
          <t>A history of Russian literature, from its beginnings to 1900 / D. S. Mirsky ; edited by Francis J. Whitfield.</t>
        </is>
      </c>
      <c r="F90" t="inlineStr">
        <is>
          <t>No</t>
        </is>
      </c>
      <c r="G90" t="inlineStr">
        <is>
          <t>1</t>
        </is>
      </c>
      <c r="H90" t="inlineStr">
        <is>
          <t>No</t>
        </is>
      </c>
      <c r="I90" t="inlineStr">
        <is>
          <t>No</t>
        </is>
      </c>
      <c r="J90" t="inlineStr">
        <is>
          <t>0</t>
        </is>
      </c>
      <c r="K90" t="inlineStr">
        <is>
          <t>Mirsky, D. S., Prince, 1890-1939.</t>
        </is>
      </c>
      <c r="L90" t="inlineStr">
        <is>
          <t>New York : Vintage Books, 1958.</t>
        </is>
      </c>
      <c r="M90" t="inlineStr">
        <is>
          <t>1958</t>
        </is>
      </c>
      <c r="O90" t="inlineStr">
        <is>
          <t>eng</t>
        </is>
      </c>
      <c r="P90" t="inlineStr">
        <is>
          <t>nyu</t>
        </is>
      </c>
      <c r="Q90" t="inlineStr">
        <is>
          <t>Vintage Russian library ; V-720</t>
        </is>
      </c>
      <c r="R90" t="inlineStr">
        <is>
          <t xml:space="preserve">PG </t>
        </is>
      </c>
      <c r="S90" t="n">
        <v>1</v>
      </c>
      <c r="T90" t="n">
        <v>1</v>
      </c>
      <c r="U90" t="inlineStr">
        <is>
          <t>1998-03-24</t>
        </is>
      </c>
      <c r="V90" t="inlineStr">
        <is>
          <t>1998-03-24</t>
        </is>
      </c>
      <c r="W90" t="inlineStr">
        <is>
          <t>1997-10-02</t>
        </is>
      </c>
      <c r="X90" t="inlineStr">
        <is>
          <t>1997-10-02</t>
        </is>
      </c>
      <c r="Y90" t="n">
        <v>640</v>
      </c>
      <c r="Z90" t="n">
        <v>570</v>
      </c>
      <c r="AA90" t="n">
        <v>668</v>
      </c>
      <c r="AB90" t="n">
        <v>2</v>
      </c>
      <c r="AC90" t="n">
        <v>4</v>
      </c>
      <c r="AD90" t="n">
        <v>21</v>
      </c>
      <c r="AE90" t="n">
        <v>24</v>
      </c>
      <c r="AF90" t="n">
        <v>11</v>
      </c>
      <c r="AG90" t="n">
        <v>12</v>
      </c>
      <c r="AH90" t="n">
        <v>6</v>
      </c>
      <c r="AI90" t="n">
        <v>6</v>
      </c>
      <c r="AJ90" t="n">
        <v>8</v>
      </c>
      <c r="AK90" t="n">
        <v>9</v>
      </c>
      <c r="AL90" t="n">
        <v>0</v>
      </c>
      <c r="AM90" t="n">
        <v>2</v>
      </c>
      <c r="AN90" t="n">
        <v>0</v>
      </c>
      <c r="AO90" t="n">
        <v>0</v>
      </c>
      <c r="AP90" t="inlineStr">
        <is>
          <t>No</t>
        </is>
      </c>
      <c r="AQ90" t="inlineStr">
        <is>
          <t>Yes</t>
        </is>
      </c>
      <c r="AR90">
        <f>HYPERLINK("http://catalog.hathitrust.org/Record/000438084","HathiTrust Record")</f>
        <v/>
      </c>
      <c r="AS90">
        <f>HYPERLINK("https://creighton-primo.hosted.exlibrisgroup.com/primo-explore/search?tab=default_tab&amp;search_scope=EVERYTHING&amp;vid=01CRU&amp;lang=en_US&amp;offset=0&amp;query=any,contains,991004810769702656","Catalog Record")</f>
        <v/>
      </c>
      <c r="AT90">
        <f>HYPERLINK("http://www.worldcat.org/oclc/5274605","WorldCat Record")</f>
        <v/>
      </c>
      <c r="AU90" t="inlineStr">
        <is>
          <t>9593039904:eng</t>
        </is>
      </c>
      <c r="AV90" t="inlineStr">
        <is>
          <t>5274605</t>
        </is>
      </c>
      <c r="AW90" t="inlineStr">
        <is>
          <t>991004810769702656</t>
        </is>
      </c>
      <c r="AX90" t="inlineStr">
        <is>
          <t>991004810769702656</t>
        </is>
      </c>
      <c r="AY90" t="inlineStr">
        <is>
          <t>2255604250002656</t>
        </is>
      </c>
      <c r="AZ90" t="inlineStr">
        <is>
          <t>BOOK</t>
        </is>
      </c>
      <c r="BB90" t="inlineStr">
        <is>
          <t>9780394707204</t>
        </is>
      </c>
      <c r="BC90" t="inlineStr">
        <is>
          <t>32285003238630</t>
        </is>
      </c>
      <c r="BD90" t="inlineStr">
        <is>
          <t>893241868</t>
        </is>
      </c>
    </row>
    <row r="91">
      <c r="A91" t="inlineStr">
        <is>
          <t>No</t>
        </is>
      </c>
      <c r="B91" t="inlineStr">
        <is>
          <t>PG2951 .M52 1972</t>
        </is>
      </c>
      <c r="C91" t="inlineStr">
        <is>
          <t>0                      PG 2951000M  52          1972</t>
        </is>
      </c>
      <c r="D91" t="inlineStr">
        <is>
          <t>Contemporary Russian literature, 1881-1925.</t>
        </is>
      </c>
      <c r="F91" t="inlineStr">
        <is>
          <t>No</t>
        </is>
      </c>
      <c r="G91" t="inlineStr">
        <is>
          <t>1</t>
        </is>
      </c>
      <c r="H91" t="inlineStr">
        <is>
          <t>No</t>
        </is>
      </c>
      <c r="I91" t="inlineStr">
        <is>
          <t>No</t>
        </is>
      </c>
      <c r="J91" t="inlineStr">
        <is>
          <t>0</t>
        </is>
      </c>
      <c r="K91" t="inlineStr">
        <is>
          <t>Mirsky, D. S., Prince, 1890-1939.</t>
        </is>
      </c>
      <c r="L91" t="inlineStr">
        <is>
          <t>New York : Knopf ; New York : Kraus Reprint, 1926, 1972.</t>
        </is>
      </c>
      <c r="M91" t="inlineStr">
        <is>
          <t>1972</t>
        </is>
      </c>
      <c r="O91" t="inlineStr">
        <is>
          <t>eng</t>
        </is>
      </c>
      <c r="P91" t="inlineStr">
        <is>
          <t>___</t>
        </is>
      </c>
      <c r="R91" t="inlineStr">
        <is>
          <t xml:space="preserve">PG </t>
        </is>
      </c>
      <c r="S91" t="n">
        <v>1</v>
      </c>
      <c r="T91" t="n">
        <v>1</v>
      </c>
      <c r="U91" t="inlineStr">
        <is>
          <t>1998-03-24</t>
        </is>
      </c>
      <c r="V91" t="inlineStr">
        <is>
          <t>1998-03-24</t>
        </is>
      </c>
      <c r="W91" t="inlineStr">
        <is>
          <t>1993-04-28</t>
        </is>
      </c>
      <c r="X91" t="inlineStr">
        <is>
          <t>1993-04-28</t>
        </is>
      </c>
      <c r="Y91" t="n">
        <v>79</v>
      </c>
      <c r="Z91" t="n">
        <v>70</v>
      </c>
      <c r="AA91" t="n">
        <v>339</v>
      </c>
      <c r="AB91" t="n">
        <v>1</v>
      </c>
      <c r="AC91" t="n">
        <v>4</v>
      </c>
      <c r="AD91" t="n">
        <v>4</v>
      </c>
      <c r="AE91" t="n">
        <v>16</v>
      </c>
      <c r="AF91" t="n">
        <v>1</v>
      </c>
      <c r="AG91" t="n">
        <v>3</v>
      </c>
      <c r="AH91" t="n">
        <v>2</v>
      </c>
      <c r="AI91" t="n">
        <v>5</v>
      </c>
      <c r="AJ91" t="n">
        <v>2</v>
      </c>
      <c r="AK91" t="n">
        <v>10</v>
      </c>
      <c r="AL91" t="n">
        <v>0</v>
      </c>
      <c r="AM91" t="n">
        <v>3</v>
      </c>
      <c r="AN91" t="n">
        <v>0</v>
      </c>
      <c r="AO91" t="n">
        <v>0</v>
      </c>
      <c r="AP91" t="inlineStr">
        <is>
          <t>No</t>
        </is>
      </c>
      <c r="AQ91" t="inlineStr">
        <is>
          <t>Yes</t>
        </is>
      </c>
      <c r="AR91">
        <f>HYPERLINK("http://catalog.hathitrust.org/Record/000006666","HathiTrust Record")</f>
        <v/>
      </c>
      <c r="AS91">
        <f>HYPERLINK("https://creighton-primo.hosted.exlibrisgroup.com/primo-explore/search?tab=default_tab&amp;search_scope=EVERYTHING&amp;vid=01CRU&amp;lang=en_US&amp;offset=0&amp;query=any,contains,991002871399702656","Catalog Record")</f>
        <v/>
      </c>
      <c r="AT91">
        <f>HYPERLINK("http://www.worldcat.org/oclc/499384","WorldCat Record")</f>
        <v/>
      </c>
      <c r="AU91" t="inlineStr">
        <is>
          <t>1592977:eng</t>
        </is>
      </c>
      <c r="AV91" t="inlineStr">
        <is>
          <t>499384</t>
        </is>
      </c>
      <c r="AW91" t="inlineStr">
        <is>
          <t>991002871399702656</t>
        </is>
      </c>
      <c r="AX91" t="inlineStr">
        <is>
          <t>991002871399702656</t>
        </is>
      </c>
      <c r="AY91" t="inlineStr">
        <is>
          <t>2271173800002656</t>
        </is>
      </c>
      <c r="AZ91" t="inlineStr">
        <is>
          <t>BOOK</t>
        </is>
      </c>
      <c r="BC91" t="inlineStr">
        <is>
          <t>32285001648871</t>
        </is>
      </c>
      <c r="BD91" t="inlineStr">
        <is>
          <t>893799118</t>
        </is>
      </c>
    </row>
    <row r="92">
      <c r="A92" t="inlineStr">
        <is>
          <t>No</t>
        </is>
      </c>
      <c r="B92" t="inlineStr">
        <is>
          <t>PG2951 .R68 2001</t>
        </is>
      </c>
      <c r="C92" t="inlineStr">
        <is>
          <t>0                      PG 2951000R  68          2001</t>
        </is>
      </c>
      <c r="D92" t="inlineStr">
        <is>
          <t>The Routledge companion to Russian literature / edited by Neil Cornwell.</t>
        </is>
      </c>
      <c r="F92" t="inlineStr">
        <is>
          <t>No</t>
        </is>
      </c>
      <c r="G92" t="inlineStr">
        <is>
          <t>1</t>
        </is>
      </c>
      <c r="H92" t="inlineStr">
        <is>
          <t>No</t>
        </is>
      </c>
      <c r="I92" t="inlineStr">
        <is>
          <t>No</t>
        </is>
      </c>
      <c r="J92" t="inlineStr">
        <is>
          <t>0</t>
        </is>
      </c>
      <c r="L92" t="inlineStr">
        <is>
          <t>London ; New York : Routledge, 2001.</t>
        </is>
      </c>
      <c r="M92" t="inlineStr">
        <is>
          <t>2001</t>
        </is>
      </c>
      <c r="O92" t="inlineStr">
        <is>
          <t>eng</t>
        </is>
      </c>
      <c r="P92" t="inlineStr">
        <is>
          <t>enk</t>
        </is>
      </c>
      <c r="Q92" t="inlineStr">
        <is>
          <t>Routledge companions</t>
        </is>
      </c>
      <c r="R92" t="inlineStr">
        <is>
          <t xml:space="preserve">PG </t>
        </is>
      </c>
      <c r="S92" t="n">
        <v>1</v>
      </c>
      <c r="T92" t="n">
        <v>1</v>
      </c>
      <c r="U92" t="inlineStr">
        <is>
          <t>2002-11-11</t>
        </is>
      </c>
      <c r="V92" t="inlineStr">
        <is>
          <t>2002-11-11</t>
        </is>
      </c>
      <c r="W92" t="inlineStr">
        <is>
          <t>2002-11-11</t>
        </is>
      </c>
      <c r="X92" t="inlineStr">
        <is>
          <t>2002-11-11</t>
        </is>
      </c>
      <c r="Y92" t="n">
        <v>559</v>
      </c>
      <c r="Z92" t="n">
        <v>449</v>
      </c>
      <c r="AA92" t="n">
        <v>1374</v>
      </c>
      <c r="AB92" t="n">
        <v>1</v>
      </c>
      <c r="AC92" t="n">
        <v>27</v>
      </c>
      <c r="AD92" t="n">
        <v>18</v>
      </c>
      <c r="AE92" t="n">
        <v>44</v>
      </c>
      <c r="AF92" t="n">
        <v>7</v>
      </c>
      <c r="AG92" t="n">
        <v>15</v>
      </c>
      <c r="AH92" t="n">
        <v>6</v>
      </c>
      <c r="AI92" t="n">
        <v>10</v>
      </c>
      <c r="AJ92" t="n">
        <v>10</v>
      </c>
      <c r="AK92" t="n">
        <v>16</v>
      </c>
      <c r="AL92" t="n">
        <v>0</v>
      </c>
      <c r="AM92" t="n">
        <v>12</v>
      </c>
      <c r="AN92" t="n">
        <v>0</v>
      </c>
      <c r="AO92" t="n">
        <v>0</v>
      </c>
      <c r="AP92" t="inlineStr">
        <is>
          <t>No</t>
        </is>
      </c>
      <c r="AQ92" t="inlineStr">
        <is>
          <t>Yes</t>
        </is>
      </c>
      <c r="AR92">
        <f>HYPERLINK("http://catalog.hathitrust.org/Record/004243202","HathiTrust Record")</f>
        <v/>
      </c>
      <c r="AS92">
        <f>HYPERLINK("https://creighton-primo.hosted.exlibrisgroup.com/primo-explore/search?tab=default_tab&amp;search_scope=EVERYTHING&amp;vid=01CRU&amp;lang=en_US&amp;offset=0&amp;query=any,contains,991003902279702656","Catalog Record")</f>
        <v/>
      </c>
      <c r="AT92">
        <f>HYPERLINK("http://www.worldcat.org/oclc/46641690","WorldCat Record")</f>
        <v/>
      </c>
      <c r="AU92" t="inlineStr">
        <is>
          <t>1082062815:eng</t>
        </is>
      </c>
      <c r="AV92" t="inlineStr">
        <is>
          <t>46641690</t>
        </is>
      </c>
      <c r="AW92" t="inlineStr">
        <is>
          <t>991003902279702656</t>
        </is>
      </c>
      <c r="AX92" t="inlineStr">
        <is>
          <t>991003902279702656</t>
        </is>
      </c>
      <c r="AY92" t="inlineStr">
        <is>
          <t>2265266190002656</t>
        </is>
      </c>
      <c r="AZ92" t="inlineStr">
        <is>
          <t>BOOK</t>
        </is>
      </c>
      <c r="BB92" t="inlineStr">
        <is>
          <t>9780415233651</t>
        </is>
      </c>
      <c r="BC92" t="inlineStr">
        <is>
          <t>32285004662580</t>
        </is>
      </c>
      <c r="BD92" t="inlineStr">
        <is>
          <t>893525403</t>
        </is>
      </c>
    </row>
    <row r="93">
      <c r="A93" t="inlineStr">
        <is>
          <t>No</t>
        </is>
      </c>
      <c r="B93" t="inlineStr">
        <is>
          <t>PG2991 .K57</t>
        </is>
      </c>
      <c r="C93" t="inlineStr">
        <is>
          <t>0                      PG 2991000K  57</t>
        </is>
      </c>
      <c r="D93" t="inlineStr">
        <is>
          <t>Vospominanii͡a o pisateli͡akh.</t>
        </is>
      </c>
      <c r="F93" t="inlineStr">
        <is>
          <t>No</t>
        </is>
      </c>
      <c r="G93" t="inlineStr">
        <is>
          <t>1</t>
        </is>
      </c>
      <c r="H93" t="inlineStr">
        <is>
          <t>No</t>
        </is>
      </c>
      <c r="I93" t="inlineStr">
        <is>
          <t>No</t>
        </is>
      </c>
      <c r="J93" t="inlineStr">
        <is>
          <t>0</t>
        </is>
      </c>
      <c r="K93" t="inlineStr">
        <is>
          <t>Koni, A. F. (Anatoliĭ Fedorovich), 1844-1927.</t>
        </is>
      </c>
      <c r="L93" t="inlineStr">
        <is>
          <t>[Leningrad] : Lenizdat, 1965.</t>
        </is>
      </c>
      <c r="M93" t="inlineStr">
        <is>
          <t>1965</t>
        </is>
      </c>
      <c r="O93" t="inlineStr">
        <is>
          <t>rus</t>
        </is>
      </c>
      <c r="P93" t="inlineStr">
        <is>
          <t xml:space="preserve">ru </t>
        </is>
      </c>
      <c r="R93" t="inlineStr">
        <is>
          <t xml:space="preserve">PG </t>
        </is>
      </c>
      <c r="S93" t="n">
        <v>5</v>
      </c>
      <c r="T93" t="n">
        <v>5</v>
      </c>
      <c r="U93" t="inlineStr">
        <is>
          <t>2001-08-25</t>
        </is>
      </c>
      <c r="V93" t="inlineStr">
        <is>
          <t>2001-08-25</t>
        </is>
      </c>
      <c r="W93" t="inlineStr">
        <is>
          <t>1993-11-29</t>
        </is>
      </c>
      <c r="X93" t="inlineStr">
        <is>
          <t>1993-11-29</t>
        </is>
      </c>
      <c r="Y93" t="n">
        <v>113</v>
      </c>
      <c r="Z93" t="n">
        <v>94</v>
      </c>
      <c r="AA93" t="n">
        <v>111</v>
      </c>
      <c r="AB93" t="n">
        <v>1</v>
      </c>
      <c r="AC93" t="n">
        <v>1</v>
      </c>
      <c r="AD93" t="n">
        <v>1</v>
      </c>
      <c r="AE93" t="n">
        <v>2</v>
      </c>
      <c r="AF93" t="n">
        <v>0</v>
      </c>
      <c r="AG93" t="n">
        <v>1</v>
      </c>
      <c r="AH93" t="n">
        <v>1</v>
      </c>
      <c r="AI93" t="n">
        <v>1</v>
      </c>
      <c r="AJ93" t="n">
        <v>0</v>
      </c>
      <c r="AK93" t="n">
        <v>0</v>
      </c>
      <c r="AL93" t="n">
        <v>0</v>
      </c>
      <c r="AM93" t="n">
        <v>0</v>
      </c>
      <c r="AN93" t="n">
        <v>0</v>
      </c>
      <c r="AO93" t="n">
        <v>0</v>
      </c>
      <c r="AP93" t="inlineStr">
        <is>
          <t>No</t>
        </is>
      </c>
      <c r="AQ93" t="inlineStr">
        <is>
          <t>Yes</t>
        </is>
      </c>
      <c r="AR93">
        <f>HYPERLINK("http://catalog.hathitrust.org/Record/001061753","HathiTrust Record")</f>
        <v/>
      </c>
      <c r="AS93">
        <f>HYPERLINK("https://creighton-primo.hosted.exlibrisgroup.com/primo-explore/search?tab=default_tab&amp;search_scope=EVERYTHING&amp;vid=01CRU&amp;lang=en_US&amp;offset=0&amp;query=any,contains,991004682399702656","Catalog Record")</f>
        <v/>
      </c>
      <c r="AT93">
        <f>HYPERLINK("http://www.worldcat.org/oclc/4575785","WorldCat Record")</f>
        <v/>
      </c>
      <c r="AU93" t="inlineStr">
        <is>
          <t>3856592644:rus</t>
        </is>
      </c>
      <c r="AV93" t="inlineStr">
        <is>
          <t>4575785</t>
        </is>
      </c>
      <c r="AW93" t="inlineStr">
        <is>
          <t>991004682399702656</t>
        </is>
      </c>
      <c r="AX93" t="inlineStr">
        <is>
          <t>991004682399702656</t>
        </is>
      </c>
      <c r="AY93" t="inlineStr">
        <is>
          <t>2261228420002656</t>
        </is>
      </c>
      <c r="AZ93" t="inlineStr">
        <is>
          <t>BOOK</t>
        </is>
      </c>
      <c r="BC93" t="inlineStr">
        <is>
          <t>32285001814283</t>
        </is>
      </c>
      <c r="BD93" t="inlineStr">
        <is>
          <t>893612637</t>
        </is>
      </c>
    </row>
    <row r="94">
      <c r="A94" t="inlineStr">
        <is>
          <t>No</t>
        </is>
      </c>
      <c r="B94" t="inlineStr">
        <is>
          <t>PG2996 .B46 2006</t>
        </is>
      </c>
      <c r="C94" t="inlineStr">
        <is>
          <t>0                      PG 2996000B  46          2006</t>
        </is>
      </c>
      <c r="D94" t="inlineStr">
        <is>
          <t>Literary Russia : a guide / Rosamund Bartlett and Anna Benn.</t>
        </is>
      </c>
      <c r="F94" t="inlineStr">
        <is>
          <t>No</t>
        </is>
      </c>
      <c r="G94" t="inlineStr">
        <is>
          <t>1</t>
        </is>
      </c>
      <c r="H94" t="inlineStr">
        <is>
          <t>No</t>
        </is>
      </c>
      <c r="I94" t="inlineStr">
        <is>
          <t>No</t>
        </is>
      </c>
      <c r="J94" t="inlineStr">
        <is>
          <t>0</t>
        </is>
      </c>
      <c r="K94" t="inlineStr">
        <is>
          <t>Bartlett, Rosamund.</t>
        </is>
      </c>
      <c r="L94" t="inlineStr">
        <is>
          <t>Woodstock ; New York : Overlook Duckworth, 2006.</t>
        </is>
      </c>
      <c r="M94" t="inlineStr">
        <is>
          <t>2006</t>
        </is>
      </c>
      <c r="O94" t="inlineStr">
        <is>
          <t>eng</t>
        </is>
      </c>
      <c r="P94" t="inlineStr">
        <is>
          <t>enk</t>
        </is>
      </c>
      <c r="R94" t="inlineStr">
        <is>
          <t xml:space="preserve">PG </t>
        </is>
      </c>
      <c r="S94" t="n">
        <v>1</v>
      </c>
      <c r="T94" t="n">
        <v>1</v>
      </c>
      <c r="U94" t="inlineStr">
        <is>
          <t>2008-08-14</t>
        </is>
      </c>
      <c r="V94" t="inlineStr">
        <is>
          <t>2008-08-14</t>
        </is>
      </c>
      <c r="W94" t="inlineStr">
        <is>
          <t>2008-08-14</t>
        </is>
      </c>
      <c r="X94" t="inlineStr">
        <is>
          <t>2008-08-14</t>
        </is>
      </c>
      <c r="Y94" t="n">
        <v>129</v>
      </c>
      <c r="Z94" t="n">
        <v>120</v>
      </c>
      <c r="AA94" t="n">
        <v>255</v>
      </c>
      <c r="AB94" t="n">
        <v>2</v>
      </c>
      <c r="AC94" t="n">
        <v>4</v>
      </c>
      <c r="AD94" t="n">
        <v>2</v>
      </c>
      <c r="AE94" t="n">
        <v>8</v>
      </c>
      <c r="AF94" t="n">
        <v>1</v>
      </c>
      <c r="AG94" t="n">
        <v>2</v>
      </c>
      <c r="AH94" t="n">
        <v>1</v>
      </c>
      <c r="AI94" t="n">
        <v>3</v>
      </c>
      <c r="AJ94" t="n">
        <v>2</v>
      </c>
      <c r="AK94" t="n">
        <v>5</v>
      </c>
      <c r="AL94" t="n">
        <v>0</v>
      </c>
      <c r="AM94" t="n">
        <v>2</v>
      </c>
      <c r="AN94" t="n">
        <v>0</v>
      </c>
      <c r="AO94" t="n">
        <v>0</v>
      </c>
      <c r="AP94" t="inlineStr">
        <is>
          <t>No</t>
        </is>
      </c>
      <c r="AQ94" t="inlineStr">
        <is>
          <t>No</t>
        </is>
      </c>
      <c r="AS94">
        <f>HYPERLINK("https://creighton-primo.hosted.exlibrisgroup.com/primo-explore/search?tab=default_tab&amp;search_scope=EVERYTHING&amp;vid=01CRU&amp;lang=en_US&amp;offset=0&amp;query=any,contains,991004905899702656","Catalog Record")</f>
        <v/>
      </c>
      <c r="AT94">
        <f>HYPERLINK("http://www.worldcat.org/oclc/70158665","WorldCat Record")</f>
        <v/>
      </c>
      <c r="AU94" t="inlineStr">
        <is>
          <t>196150692:eng</t>
        </is>
      </c>
      <c r="AV94" t="inlineStr">
        <is>
          <t>70158665</t>
        </is>
      </c>
      <c r="AW94" t="inlineStr">
        <is>
          <t>991004905899702656</t>
        </is>
      </c>
      <c r="AX94" t="inlineStr">
        <is>
          <t>991004905899702656</t>
        </is>
      </c>
      <c r="AY94" t="inlineStr">
        <is>
          <t>2257459570002656</t>
        </is>
      </c>
      <c r="AZ94" t="inlineStr">
        <is>
          <t>BOOK</t>
        </is>
      </c>
      <c r="BB94" t="inlineStr">
        <is>
          <t>9781585674442</t>
        </is>
      </c>
      <c r="BC94" t="inlineStr">
        <is>
          <t>32285005454417</t>
        </is>
      </c>
      <c r="BD94" t="inlineStr">
        <is>
          <t>893694481</t>
        </is>
      </c>
    </row>
    <row r="95">
      <c r="A95" t="inlineStr">
        <is>
          <t>No</t>
        </is>
      </c>
      <c r="B95" t="inlineStr">
        <is>
          <t>PG3012 .K72 1970</t>
        </is>
      </c>
      <c r="C95" t="inlineStr">
        <is>
          <t>0                      PG 3012000K  72          1970</t>
        </is>
      </c>
      <c r="D95" t="inlineStr">
        <is>
          <t>Ideals and realities in Russian literature.</t>
        </is>
      </c>
      <c r="F95" t="inlineStr">
        <is>
          <t>No</t>
        </is>
      </c>
      <c r="G95" t="inlineStr">
        <is>
          <t>1</t>
        </is>
      </c>
      <c r="H95" t="inlineStr">
        <is>
          <t>No</t>
        </is>
      </c>
      <c r="I95" t="inlineStr">
        <is>
          <t>No</t>
        </is>
      </c>
      <c r="J95" t="inlineStr">
        <is>
          <t>0</t>
        </is>
      </c>
      <c r="K95" t="inlineStr">
        <is>
          <t>Kropotkin, Petr Alekseevich, kni︠a︡zʹ, 1842-1921.</t>
        </is>
      </c>
      <c r="L95" t="inlineStr">
        <is>
          <t>Westport, Conn. : Greenwood Press, [1970]</t>
        </is>
      </c>
      <c r="M95" t="inlineStr">
        <is>
          <t>1970</t>
        </is>
      </c>
      <c r="O95" t="inlineStr">
        <is>
          <t>eng</t>
        </is>
      </c>
      <c r="P95" t="inlineStr">
        <is>
          <t>ctu</t>
        </is>
      </c>
      <c r="R95" t="inlineStr">
        <is>
          <t xml:space="preserve">PG </t>
        </is>
      </c>
      <c r="S95" t="n">
        <v>5</v>
      </c>
      <c r="T95" t="n">
        <v>5</v>
      </c>
      <c r="U95" t="inlineStr">
        <is>
          <t>1997-09-23</t>
        </is>
      </c>
      <c r="V95" t="inlineStr">
        <is>
          <t>1997-09-23</t>
        </is>
      </c>
      <c r="W95" t="inlineStr">
        <is>
          <t>1991-05-16</t>
        </is>
      </c>
      <c r="X95" t="inlineStr">
        <is>
          <t>1991-05-16</t>
        </is>
      </c>
      <c r="Y95" t="n">
        <v>200</v>
      </c>
      <c r="Z95" t="n">
        <v>175</v>
      </c>
      <c r="AA95" t="n">
        <v>453</v>
      </c>
      <c r="AB95" t="n">
        <v>3</v>
      </c>
      <c r="AC95" t="n">
        <v>3</v>
      </c>
      <c r="AD95" t="n">
        <v>12</v>
      </c>
      <c r="AE95" t="n">
        <v>19</v>
      </c>
      <c r="AF95" t="n">
        <v>5</v>
      </c>
      <c r="AG95" t="n">
        <v>7</v>
      </c>
      <c r="AH95" t="n">
        <v>2</v>
      </c>
      <c r="AI95" t="n">
        <v>4</v>
      </c>
      <c r="AJ95" t="n">
        <v>8</v>
      </c>
      <c r="AK95" t="n">
        <v>11</v>
      </c>
      <c r="AL95" t="n">
        <v>2</v>
      </c>
      <c r="AM95" t="n">
        <v>2</v>
      </c>
      <c r="AN95" t="n">
        <v>0</v>
      </c>
      <c r="AO95" t="n">
        <v>0</v>
      </c>
      <c r="AP95" t="inlineStr">
        <is>
          <t>No</t>
        </is>
      </c>
      <c r="AQ95" t="inlineStr">
        <is>
          <t>Yes</t>
        </is>
      </c>
      <c r="AR95">
        <f>HYPERLINK("http://catalog.hathitrust.org/Record/012360562","HathiTrust Record")</f>
        <v/>
      </c>
      <c r="AS95">
        <f>HYPERLINK("https://creighton-primo.hosted.exlibrisgroup.com/primo-explore/search?tab=default_tab&amp;search_scope=EVERYTHING&amp;vid=01CRU&amp;lang=en_US&amp;offset=0&amp;query=any,contains,991000791029702656","Catalog Record")</f>
        <v/>
      </c>
      <c r="AT95">
        <f>HYPERLINK("http://www.worldcat.org/oclc/136233","WorldCat Record")</f>
        <v/>
      </c>
      <c r="AU95" t="inlineStr">
        <is>
          <t>66034653:eng</t>
        </is>
      </c>
      <c r="AV95" t="inlineStr">
        <is>
          <t>136233</t>
        </is>
      </c>
      <c r="AW95" t="inlineStr">
        <is>
          <t>991000791029702656</t>
        </is>
      </c>
      <c r="AX95" t="inlineStr">
        <is>
          <t>991000791029702656</t>
        </is>
      </c>
      <c r="AY95" t="inlineStr">
        <is>
          <t>2264194740002656</t>
        </is>
      </c>
      <c r="AZ95" t="inlineStr">
        <is>
          <t>BOOK</t>
        </is>
      </c>
      <c r="BB95" t="inlineStr">
        <is>
          <t>9780837145181</t>
        </is>
      </c>
      <c r="BC95" t="inlineStr">
        <is>
          <t>32285000596535</t>
        </is>
      </c>
      <c r="BD95" t="inlineStr">
        <is>
          <t>893432297</t>
        </is>
      </c>
    </row>
    <row r="96">
      <c r="A96" t="inlineStr">
        <is>
          <t>No</t>
        </is>
      </c>
      <c r="B96" t="inlineStr">
        <is>
          <t>PG3012 .K728 1955</t>
        </is>
      </c>
      <c r="C96" t="inlineStr">
        <is>
          <t>0                      PG 3012000K  728         1955</t>
        </is>
      </c>
      <c r="D96" t="inlineStr">
        <is>
          <t>Idealy i deĭstvitelʹnostʹ v russkoĭ literature : S angliĭskogo / Perevod V. Baturinskogo, pod red. avtora.</t>
        </is>
      </c>
      <c r="F96" t="inlineStr">
        <is>
          <t>No</t>
        </is>
      </c>
      <c r="G96" t="inlineStr">
        <is>
          <t>1</t>
        </is>
      </c>
      <c r="H96" t="inlineStr">
        <is>
          <t>No</t>
        </is>
      </c>
      <c r="I96" t="inlineStr">
        <is>
          <t>No</t>
        </is>
      </c>
      <c r="J96" t="inlineStr">
        <is>
          <t>0</t>
        </is>
      </c>
      <c r="K96" t="inlineStr">
        <is>
          <t>Kropotkin, Petr Alekseevich, kni︠a︡zʹ, 1842-1921.</t>
        </is>
      </c>
      <c r="L96" t="inlineStr">
        <is>
          <t>Buėnos Aĭres, Sei͡atelʹ, 1955.</t>
        </is>
      </c>
      <c r="M96" t="inlineStr">
        <is>
          <t>1955</t>
        </is>
      </c>
      <c r="O96" t="inlineStr">
        <is>
          <t>rus</t>
        </is>
      </c>
      <c r="P96" t="inlineStr">
        <is>
          <t xml:space="preserve">xx </t>
        </is>
      </c>
      <c r="R96" t="inlineStr">
        <is>
          <t xml:space="preserve">PG </t>
        </is>
      </c>
      <c r="S96" t="n">
        <v>1</v>
      </c>
      <c r="T96" t="n">
        <v>1</v>
      </c>
      <c r="U96" t="inlineStr">
        <is>
          <t>1998-04-17</t>
        </is>
      </c>
      <c r="V96" t="inlineStr">
        <is>
          <t>1998-04-17</t>
        </is>
      </c>
      <c r="W96" t="inlineStr">
        <is>
          <t>1997-09-08</t>
        </is>
      </c>
      <c r="X96" t="inlineStr">
        <is>
          <t>1997-09-08</t>
        </is>
      </c>
      <c r="Y96" t="n">
        <v>91</v>
      </c>
      <c r="Z96" t="n">
        <v>74</v>
      </c>
      <c r="AA96" t="n">
        <v>76</v>
      </c>
      <c r="AB96" t="n">
        <v>1</v>
      </c>
      <c r="AC96" t="n">
        <v>1</v>
      </c>
      <c r="AD96" t="n">
        <v>1</v>
      </c>
      <c r="AE96" t="n">
        <v>1</v>
      </c>
      <c r="AF96" t="n">
        <v>0</v>
      </c>
      <c r="AG96" t="n">
        <v>0</v>
      </c>
      <c r="AH96" t="n">
        <v>1</v>
      </c>
      <c r="AI96" t="n">
        <v>1</v>
      </c>
      <c r="AJ96" t="n">
        <v>0</v>
      </c>
      <c r="AK96" t="n">
        <v>0</v>
      </c>
      <c r="AL96" t="n">
        <v>0</v>
      </c>
      <c r="AM96" t="n">
        <v>0</v>
      </c>
      <c r="AN96" t="n">
        <v>0</v>
      </c>
      <c r="AO96" t="n">
        <v>0</v>
      </c>
      <c r="AP96" t="inlineStr">
        <is>
          <t>No</t>
        </is>
      </c>
      <c r="AQ96" t="inlineStr">
        <is>
          <t>Yes</t>
        </is>
      </c>
      <c r="AR96">
        <f>HYPERLINK("http://catalog.hathitrust.org/Record/000980744","HathiTrust Record")</f>
        <v/>
      </c>
      <c r="AS96">
        <f>HYPERLINK("https://creighton-primo.hosted.exlibrisgroup.com/primo-explore/search?tab=default_tab&amp;search_scope=EVERYTHING&amp;vid=01CRU&amp;lang=en_US&amp;offset=0&amp;query=any,contains,991002684919702656","Catalog Record")</f>
        <v/>
      </c>
      <c r="AT96">
        <f>HYPERLINK("http://www.worldcat.org/oclc/399597","WorldCat Record")</f>
        <v/>
      </c>
      <c r="AU96" t="inlineStr">
        <is>
          <t>4495028140:rus</t>
        </is>
      </c>
      <c r="AV96" t="inlineStr">
        <is>
          <t>399597</t>
        </is>
      </c>
      <c r="AW96" t="inlineStr">
        <is>
          <t>991002684919702656</t>
        </is>
      </c>
      <c r="AX96" t="inlineStr">
        <is>
          <t>991002684919702656</t>
        </is>
      </c>
      <c r="AY96" t="inlineStr">
        <is>
          <t>2257820860002656</t>
        </is>
      </c>
      <c r="AZ96" t="inlineStr">
        <is>
          <t>BOOK</t>
        </is>
      </c>
      <c r="BC96" t="inlineStr">
        <is>
          <t>32285003167698</t>
        </is>
      </c>
      <c r="BD96" t="inlineStr">
        <is>
          <t>893262417</t>
        </is>
      </c>
    </row>
    <row r="97">
      <c r="A97" t="inlineStr">
        <is>
          <t>No</t>
        </is>
      </c>
      <c r="B97" t="inlineStr">
        <is>
          <t>PG3015.5.R6 F73 2007</t>
        </is>
      </c>
      <c r="C97" t="inlineStr">
        <is>
          <t>0                      PG 3015500R  6                  F  73          2007</t>
        </is>
      </c>
      <c r="D97" t="inlineStr">
        <is>
          <t>Romantic encounters : writers, readers, and the Library for Reading / Melissa Frazier.</t>
        </is>
      </c>
      <c r="F97" t="inlineStr">
        <is>
          <t>No</t>
        </is>
      </c>
      <c r="G97" t="inlineStr">
        <is>
          <t>1</t>
        </is>
      </c>
      <c r="H97" t="inlineStr">
        <is>
          <t>No</t>
        </is>
      </c>
      <c r="I97" t="inlineStr">
        <is>
          <t>No</t>
        </is>
      </c>
      <c r="J97" t="inlineStr">
        <is>
          <t>0</t>
        </is>
      </c>
      <c r="K97" t="inlineStr">
        <is>
          <t>Frazier, Melissa, 1965-</t>
        </is>
      </c>
      <c r="L97" t="inlineStr">
        <is>
          <t>Stanford, Calif. : Stanford University Press, 2007.</t>
        </is>
      </c>
      <c r="M97" t="inlineStr">
        <is>
          <t>2007</t>
        </is>
      </c>
      <c r="O97" t="inlineStr">
        <is>
          <t>eng</t>
        </is>
      </c>
      <c r="P97" t="inlineStr">
        <is>
          <t>cau</t>
        </is>
      </c>
      <c r="R97" t="inlineStr">
        <is>
          <t xml:space="preserve">PG </t>
        </is>
      </c>
      <c r="S97" t="n">
        <v>1</v>
      </c>
      <c r="T97" t="n">
        <v>1</v>
      </c>
      <c r="U97" t="inlineStr">
        <is>
          <t>2009-06-11</t>
        </is>
      </c>
      <c r="V97" t="inlineStr">
        <is>
          <t>2009-06-11</t>
        </is>
      </c>
      <c r="W97" t="inlineStr">
        <is>
          <t>2009-06-11</t>
        </is>
      </c>
      <c r="X97" t="inlineStr">
        <is>
          <t>2009-06-11</t>
        </is>
      </c>
      <c r="Y97" t="n">
        <v>218</v>
      </c>
      <c r="Z97" t="n">
        <v>177</v>
      </c>
      <c r="AA97" t="n">
        <v>178</v>
      </c>
      <c r="AB97" t="n">
        <v>2</v>
      </c>
      <c r="AC97" t="n">
        <v>2</v>
      </c>
      <c r="AD97" t="n">
        <v>8</v>
      </c>
      <c r="AE97" t="n">
        <v>8</v>
      </c>
      <c r="AF97" t="n">
        <v>1</v>
      </c>
      <c r="AG97" t="n">
        <v>1</v>
      </c>
      <c r="AH97" t="n">
        <v>3</v>
      </c>
      <c r="AI97" t="n">
        <v>3</v>
      </c>
      <c r="AJ97" t="n">
        <v>5</v>
      </c>
      <c r="AK97" t="n">
        <v>5</v>
      </c>
      <c r="AL97" t="n">
        <v>1</v>
      </c>
      <c r="AM97" t="n">
        <v>1</v>
      </c>
      <c r="AN97" t="n">
        <v>0</v>
      </c>
      <c r="AO97" t="n">
        <v>0</v>
      </c>
      <c r="AP97" t="inlineStr">
        <is>
          <t>No</t>
        </is>
      </c>
      <c r="AQ97" t="inlineStr">
        <is>
          <t>Yes</t>
        </is>
      </c>
      <c r="AR97">
        <f>HYPERLINK("http://catalog.hathitrust.org/Record/005574829","HathiTrust Record")</f>
        <v/>
      </c>
      <c r="AS97">
        <f>HYPERLINK("https://creighton-primo.hosted.exlibrisgroup.com/primo-explore/search?tab=default_tab&amp;search_scope=EVERYTHING&amp;vid=01CRU&amp;lang=en_US&amp;offset=0&amp;query=any,contains,991005321519702656","Catalog Record")</f>
        <v/>
      </c>
      <c r="AT97">
        <f>HYPERLINK("http://www.worldcat.org/oclc/81252664","WorldCat Record")</f>
        <v/>
      </c>
      <c r="AU97" t="inlineStr">
        <is>
          <t>66089030:eng</t>
        </is>
      </c>
      <c r="AV97" t="inlineStr">
        <is>
          <t>81252664</t>
        </is>
      </c>
      <c r="AW97" t="inlineStr">
        <is>
          <t>991005321519702656</t>
        </is>
      </c>
      <c r="AX97" t="inlineStr">
        <is>
          <t>991005321519702656</t>
        </is>
      </c>
      <c r="AY97" t="inlineStr">
        <is>
          <t>2254853960002656</t>
        </is>
      </c>
      <c r="AZ97" t="inlineStr">
        <is>
          <t>BOOK</t>
        </is>
      </c>
      <c r="BB97" t="inlineStr">
        <is>
          <t>9780804755177</t>
        </is>
      </c>
      <c r="BC97" t="inlineStr">
        <is>
          <t>32285005534176</t>
        </is>
      </c>
      <c r="BD97" t="inlineStr">
        <is>
          <t>893613507</t>
        </is>
      </c>
    </row>
    <row r="98">
      <c r="A98" t="inlineStr">
        <is>
          <t>No</t>
        </is>
      </c>
      <c r="B98" t="inlineStr">
        <is>
          <t>PG3021 .P48 2000</t>
        </is>
      </c>
      <c r="C98" t="inlineStr">
        <is>
          <t>0                      PG 3021000P  48          2000</t>
        </is>
      </c>
      <c r="D98" t="inlineStr">
        <is>
          <t>Up from bondage : the literatures of Russian and African American soul / Dale E. Peterson.</t>
        </is>
      </c>
      <c r="F98" t="inlineStr">
        <is>
          <t>No</t>
        </is>
      </c>
      <c r="G98" t="inlineStr">
        <is>
          <t>1</t>
        </is>
      </c>
      <c r="H98" t="inlineStr">
        <is>
          <t>No</t>
        </is>
      </c>
      <c r="I98" t="inlineStr">
        <is>
          <t>No</t>
        </is>
      </c>
      <c r="J98" t="inlineStr">
        <is>
          <t>0</t>
        </is>
      </c>
      <c r="K98" t="inlineStr">
        <is>
          <t>Peterson, Dale E. (Dale Earl)</t>
        </is>
      </c>
      <c r="L98" t="inlineStr">
        <is>
          <t>Durham [N.C.] : Duke University Press, 2000.</t>
        </is>
      </c>
      <c r="M98" t="inlineStr">
        <is>
          <t>2000</t>
        </is>
      </c>
      <c r="O98" t="inlineStr">
        <is>
          <t>eng</t>
        </is>
      </c>
      <c r="P98" t="inlineStr">
        <is>
          <t>ncu</t>
        </is>
      </c>
      <c r="R98" t="inlineStr">
        <is>
          <t xml:space="preserve">PG </t>
        </is>
      </c>
      <c r="S98" t="n">
        <v>1</v>
      </c>
      <c r="T98" t="n">
        <v>1</v>
      </c>
      <c r="U98" t="inlineStr">
        <is>
          <t>2002-08-06</t>
        </is>
      </c>
      <c r="V98" t="inlineStr">
        <is>
          <t>2002-08-06</t>
        </is>
      </c>
      <c r="W98" t="inlineStr">
        <is>
          <t>2002-08-05</t>
        </is>
      </c>
      <c r="X98" t="inlineStr">
        <is>
          <t>2002-08-05</t>
        </is>
      </c>
      <c r="Y98" t="n">
        <v>434</v>
      </c>
      <c r="Z98" t="n">
        <v>387</v>
      </c>
      <c r="AA98" t="n">
        <v>631</v>
      </c>
      <c r="AB98" t="n">
        <v>2</v>
      </c>
      <c r="AC98" t="n">
        <v>28</v>
      </c>
      <c r="AD98" t="n">
        <v>21</v>
      </c>
      <c r="AE98" t="n">
        <v>36</v>
      </c>
      <c r="AF98" t="n">
        <v>10</v>
      </c>
      <c r="AG98" t="n">
        <v>12</v>
      </c>
      <c r="AH98" t="n">
        <v>8</v>
      </c>
      <c r="AI98" t="n">
        <v>8</v>
      </c>
      <c r="AJ98" t="n">
        <v>8</v>
      </c>
      <c r="AK98" t="n">
        <v>10</v>
      </c>
      <c r="AL98" t="n">
        <v>1</v>
      </c>
      <c r="AM98" t="n">
        <v>13</v>
      </c>
      <c r="AN98" t="n">
        <v>0</v>
      </c>
      <c r="AO98" t="n">
        <v>0</v>
      </c>
      <c r="AP98" t="inlineStr">
        <is>
          <t>No</t>
        </is>
      </c>
      <c r="AQ98" t="inlineStr">
        <is>
          <t>Yes</t>
        </is>
      </c>
      <c r="AR98">
        <f>HYPERLINK("http://catalog.hathitrust.org/Record/004129553","HathiTrust Record")</f>
        <v/>
      </c>
      <c r="AS98">
        <f>HYPERLINK("https://creighton-primo.hosted.exlibrisgroup.com/primo-explore/search?tab=default_tab&amp;search_scope=EVERYTHING&amp;vid=01CRU&amp;lang=en_US&amp;offset=0&amp;query=any,contains,991003823249702656","Catalog Record")</f>
        <v/>
      </c>
      <c r="AT98">
        <f>HYPERLINK("http://www.worldcat.org/oclc/44867146","WorldCat Record")</f>
        <v/>
      </c>
      <c r="AU98" t="inlineStr">
        <is>
          <t>2798816:eng</t>
        </is>
      </c>
      <c r="AV98" t="inlineStr">
        <is>
          <t>44867146</t>
        </is>
      </c>
      <c r="AW98" t="inlineStr">
        <is>
          <t>991003823249702656</t>
        </is>
      </c>
      <c r="AX98" t="inlineStr">
        <is>
          <t>991003823249702656</t>
        </is>
      </c>
      <c r="AY98" t="inlineStr">
        <is>
          <t>2259338860002656</t>
        </is>
      </c>
      <c r="AZ98" t="inlineStr">
        <is>
          <t>BOOK</t>
        </is>
      </c>
      <c r="BB98" t="inlineStr">
        <is>
          <t>9780822325260</t>
        </is>
      </c>
      <c r="BC98" t="inlineStr">
        <is>
          <t>32285004641766</t>
        </is>
      </c>
      <c r="BD98" t="inlineStr">
        <is>
          <t>893900418</t>
        </is>
      </c>
    </row>
    <row r="99">
      <c r="A99" t="inlineStr">
        <is>
          <t>No</t>
        </is>
      </c>
      <c r="B99" t="inlineStr">
        <is>
          <t>PG3022 .S82 1971</t>
        </is>
      </c>
      <c r="C99" t="inlineStr">
        <is>
          <t>0                      PG 3022000S  82          1971</t>
        </is>
      </c>
      <c r="D99" t="inlineStr">
        <is>
          <t>Russian literature under Lenin and Stalin, 1917-1953.</t>
        </is>
      </c>
      <c r="F99" t="inlineStr">
        <is>
          <t>No</t>
        </is>
      </c>
      <c r="G99" t="inlineStr">
        <is>
          <t>1</t>
        </is>
      </c>
      <c r="H99" t="inlineStr">
        <is>
          <t>No</t>
        </is>
      </c>
      <c r="I99" t="inlineStr">
        <is>
          <t>No</t>
        </is>
      </c>
      <c r="J99" t="inlineStr">
        <is>
          <t>0</t>
        </is>
      </c>
      <c r="K99" t="inlineStr">
        <is>
          <t>Struve, Gleb.</t>
        </is>
      </c>
      <c r="L99" t="inlineStr">
        <is>
          <t>Norman : University of Oklahoma Press, [1971]</t>
        </is>
      </c>
      <c r="M99" t="inlineStr">
        <is>
          <t>1971</t>
        </is>
      </c>
      <c r="N99" t="inlineStr">
        <is>
          <t>[1st ed.]</t>
        </is>
      </c>
      <c r="O99" t="inlineStr">
        <is>
          <t>eng</t>
        </is>
      </c>
      <c r="P99" t="inlineStr">
        <is>
          <t>oku</t>
        </is>
      </c>
      <c r="R99" t="inlineStr">
        <is>
          <t xml:space="preserve">PG </t>
        </is>
      </c>
      <c r="S99" t="n">
        <v>5</v>
      </c>
      <c r="T99" t="n">
        <v>5</v>
      </c>
      <c r="U99" t="inlineStr">
        <is>
          <t>2004-09-28</t>
        </is>
      </c>
      <c r="V99" t="inlineStr">
        <is>
          <t>2004-09-28</t>
        </is>
      </c>
      <c r="W99" t="inlineStr">
        <is>
          <t>1992-05-01</t>
        </is>
      </c>
      <c r="X99" t="inlineStr">
        <is>
          <t>1992-05-01</t>
        </is>
      </c>
      <c r="Y99" t="n">
        <v>883</v>
      </c>
      <c r="Z99" t="n">
        <v>767</v>
      </c>
      <c r="AA99" t="n">
        <v>770</v>
      </c>
      <c r="AB99" t="n">
        <v>10</v>
      </c>
      <c r="AC99" t="n">
        <v>10</v>
      </c>
      <c r="AD99" t="n">
        <v>35</v>
      </c>
      <c r="AE99" t="n">
        <v>35</v>
      </c>
      <c r="AF99" t="n">
        <v>11</v>
      </c>
      <c r="AG99" t="n">
        <v>11</v>
      </c>
      <c r="AH99" t="n">
        <v>10</v>
      </c>
      <c r="AI99" t="n">
        <v>10</v>
      </c>
      <c r="AJ99" t="n">
        <v>15</v>
      </c>
      <c r="AK99" t="n">
        <v>15</v>
      </c>
      <c r="AL99" t="n">
        <v>9</v>
      </c>
      <c r="AM99" t="n">
        <v>9</v>
      </c>
      <c r="AN99" t="n">
        <v>0</v>
      </c>
      <c r="AO99" t="n">
        <v>0</v>
      </c>
      <c r="AP99" t="inlineStr">
        <is>
          <t>No</t>
        </is>
      </c>
      <c r="AQ99" t="inlineStr">
        <is>
          <t>No</t>
        </is>
      </c>
      <c r="AS99">
        <f>HYPERLINK("https://creighton-primo.hosted.exlibrisgroup.com/primo-explore/search?tab=default_tab&amp;search_scope=EVERYTHING&amp;vid=01CRU&amp;lang=en_US&amp;offset=0&amp;query=any,contains,991000729869702656","Catalog Record")</f>
        <v/>
      </c>
      <c r="AT99">
        <f>HYPERLINK("http://www.worldcat.org/oclc/128350","WorldCat Record")</f>
        <v/>
      </c>
      <c r="AU99" t="inlineStr">
        <is>
          <t>104327213:eng</t>
        </is>
      </c>
      <c r="AV99" t="inlineStr">
        <is>
          <t>128350</t>
        </is>
      </c>
      <c r="AW99" t="inlineStr">
        <is>
          <t>991000729869702656</t>
        </is>
      </c>
      <c r="AX99" t="inlineStr">
        <is>
          <t>991000729869702656</t>
        </is>
      </c>
      <c r="AY99" t="inlineStr">
        <is>
          <t>2261540950002656</t>
        </is>
      </c>
      <c r="AZ99" t="inlineStr">
        <is>
          <t>BOOK</t>
        </is>
      </c>
      <c r="BB99" t="inlineStr">
        <is>
          <t>9780806109312</t>
        </is>
      </c>
      <c r="BC99" t="inlineStr">
        <is>
          <t>32285001091064</t>
        </is>
      </c>
      <c r="BD99" t="inlineStr">
        <is>
          <t>893871958</t>
        </is>
      </c>
    </row>
    <row r="100">
      <c r="A100" t="inlineStr">
        <is>
          <t>No</t>
        </is>
      </c>
      <c r="B100" t="inlineStr">
        <is>
          <t>PG3026.C6 Y3 1969</t>
        </is>
      </c>
      <c r="C100" t="inlineStr">
        <is>
          <t>0                      PG 3026000C  6                  Y  3           1969</t>
        </is>
      </c>
      <c r="D100" t="inlineStr">
        <is>
          <t>Literature under communism; the literary policy of the Communist Party of the Soviet Union from the end of World War II to the death of Stalin.</t>
        </is>
      </c>
      <c r="F100" t="inlineStr">
        <is>
          <t>No</t>
        </is>
      </c>
      <c r="G100" t="inlineStr">
        <is>
          <t>1</t>
        </is>
      </c>
      <c r="H100" t="inlineStr">
        <is>
          <t>No</t>
        </is>
      </c>
      <c r="I100" t="inlineStr">
        <is>
          <t>No</t>
        </is>
      </c>
      <c r="J100" t="inlineStr">
        <is>
          <t>0</t>
        </is>
      </c>
      <c r="K100" t="inlineStr">
        <is>
          <t>Yarmolinsky, Avrahm, 1890-1975.</t>
        </is>
      </c>
      <c r="L100" t="inlineStr">
        <is>
          <t>Freeport, N.Y., Books for Libraries Press [1969]</t>
        </is>
      </c>
      <c r="M100" t="inlineStr">
        <is>
          <t>1969</t>
        </is>
      </c>
      <c r="O100" t="inlineStr">
        <is>
          <t>eng</t>
        </is>
      </c>
      <c r="P100" t="inlineStr">
        <is>
          <t>nyu</t>
        </is>
      </c>
      <c r="Q100" t="inlineStr">
        <is>
          <t>Select bibliographies reprint series</t>
        </is>
      </c>
      <c r="R100" t="inlineStr">
        <is>
          <t xml:space="preserve">PG </t>
        </is>
      </c>
      <c r="S100" t="n">
        <v>3</v>
      </c>
      <c r="T100" t="n">
        <v>3</v>
      </c>
      <c r="U100" t="inlineStr">
        <is>
          <t>1997-11-20</t>
        </is>
      </c>
      <c r="V100" t="inlineStr">
        <is>
          <t>1997-11-20</t>
        </is>
      </c>
      <c r="W100" t="inlineStr">
        <is>
          <t>1997-10-02</t>
        </is>
      </c>
      <c r="X100" t="inlineStr">
        <is>
          <t>1997-10-02</t>
        </is>
      </c>
      <c r="Y100" t="n">
        <v>300</v>
      </c>
      <c r="Z100" t="n">
        <v>271</v>
      </c>
      <c r="AA100" t="n">
        <v>438</v>
      </c>
      <c r="AB100" t="n">
        <v>2</v>
      </c>
      <c r="AC100" t="n">
        <v>4</v>
      </c>
      <c r="AD100" t="n">
        <v>15</v>
      </c>
      <c r="AE100" t="n">
        <v>22</v>
      </c>
      <c r="AF100" t="n">
        <v>7</v>
      </c>
      <c r="AG100" t="n">
        <v>7</v>
      </c>
      <c r="AH100" t="n">
        <v>3</v>
      </c>
      <c r="AI100" t="n">
        <v>5</v>
      </c>
      <c r="AJ100" t="n">
        <v>8</v>
      </c>
      <c r="AK100" t="n">
        <v>11</v>
      </c>
      <c r="AL100" t="n">
        <v>1</v>
      </c>
      <c r="AM100" t="n">
        <v>3</v>
      </c>
      <c r="AN100" t="n">
        <v>0</v>
      </c>
      <c r="AO100" t="n">
        <v>0</v>
      </c>
      <c r="AP100" t="inlineStr">
        <is>
          <t>No</t>
        </is>
      </c>
      <c r="AQ100" t="inlineStr">
        <is>
          <t>Yes</t>
        </is>
      </c>
      <c r="AR100">
        <f>HYPERLINK("http://catalog.hathitrust.org/Record/007871664","HathiTrust Record")</f>
        <v/>
      </c>
      <c r="AS100">
        <f>HYPERLINK("https://creighton-primo.hosted.exlibrisgroup.com/primo-explore/search?tab=default_tab&amp;search_scope=EVERYTHING&amp;vid=01CRU&amp;lang=en_US&amp;offset=0&amp;query=any,contains,991000000079702656","Catalog Record")</f>
        <v/>
      </c>
      <c r="AT100">
        <f>HYPERLINK("http://www.worldcat.org/oclc/7448","WorldCat Record")</f>
        <v/>
      </c>
      <c r="AU100" t="inlineStr">
        <is>
          <t>376765713:eng</t>
        </is>
      </c>
      <c r="AV100" t="inlineStr">
        <is>
          <t>7448</t>
        </is>
      </c>
      <c r="AW100" t="inlineStr">
        <is>
          <t>991000000079702656</t>
        </is>
      </c>
      <c r="AX100" t="inlineStr">
        <is>
          <t>991000000079702656</t>
        </is>
      </c>
      <c r="AY100" t="inlineStr">
        <is>
          <t>2265500070002656</t>
        </is>
      </c>
      <c r="AZ100" t="inlineStr">
        <is>
          <t>BOOK</t>
        </is>
      </c>
      <c r="BC100" t="inlineStr">
        <is>
          <t>32285003238879</t>
        </is>
      </c>
      <c r="BD100" t="inlineStr">
        <is>
          <t>893326914</t>
        </is>
      </c>
    </row>
    <row r="101">
      <c r="A101" t="inlineStr">
        <is>
          <t>No</t>
        </is>
      </c>
      <c r="B101" t="inlineStr">
        <is>
          <t>PG3026.C64 T648 2000</t>
        </is>
      </c>
      <c r="C101" t="inlineStr">
        <is>
          <t>0                      PG 3026000C  64                 T  648         2000</t>
        </is>
      </c>
      <c r="D101" t="inlineStr">
        <is>
          <t>Return from the Archipelago : narratives of Gulag survivors / Leona Toker.</t>
        </is>
      </c>
      <c r="F101" t="inlineStr">
        <is>
          <t>No</t>
        </is>
      </c>
      <c r="G101" t="inlineStr">
        <is>
          <t>1</t>
        </is>
      </c>
      <c r="H101" t="inlineStr">
        <is>
          <t>No</t>
        </is>
      </c>
      <c r="I101" t="inlineStr">
        <is>
          <t>No</t>
        </is>
      </c>
      <c r="J101" t="inlineStr">
        <is>
          <t>0</t>
        </is>
      </c>
      <c r="K101" t="inlineStr">
        <is>
          <t>Toker, Leona.</t>
        </is>
      </c>
      <c r="L101" t="inlineStr">
        <is>
          <t>Bloomington : Indiana University Press, c2000.</t>
        </is>
      </c>
      <c r="M101" t="inlineStr">
        <is>
          <t>2000</t>
        </is>
      </c>
      <c r="O101" t="inlineStr">
        <is>
          <t>eng</t>
        </is>
      </c>
      <c r="P101" t="inlineStr">
        <is>
          <t>inu</t>
        </is>
      </c>
      <c r="R101" t="inlineStr">
        <is>
          <t xml:space="preserve">PG </t>
        </is>
      </c>
      <c r="S101" t="n">
        <v>3</v>
      </c>
      <c r="T101" t="n">
        <v>3</v>
      </c>
      <c r="U101" t="inlineStr">
        <is>
          <t>2005-02-05</t>
        </is>
      </c>
      <c r="V101" t="inlineStr">
        <is>
          <t>2005-02-05</t>
        </is>
      </c>
      <c r="W101" t="inlineStr">
        <is>
          <t>2002-07-15</t>
        </is>
      </c>
      <c r="X101" t="inlineStr">
        <is>
          <t>2002-07-15</t>
        </is>
      </c>
      <c r="Y101" t="n">
        <v>473</v>
      </c>
      <c r="Z101" t="n">
        <v>392</v>
      </c>
      <c r="AA101" t="n">
        <v>394</v>
      </c>
      <c r="AB101" t="n">
        <v>5</v>
      </c>
      <c r="AC101" t="n">
        <v>5</v>
      </c>
      <c r="AD101" t="n">
        <v>20</v>
      </c>
      <c r="AE101" t="n">
        <v>20</v>
      </c>
      <c r="AF101" t="n">
        <v>9</v>
      </c>
      <c r="AG101" t="n">
        <v>9</v>
      </c>
      <c r="AH101" t="n">
        <v>7</v>
      </c>
      <c r="AI101" t="n">
        <v>7</v>
      </c>
      <c r="AJ101" t="n">
        <v>6</v>
      </c>
      <c r="AK101" t="n">
        <v>6</v>
      </c>
      <c r="AL101" t="n">
        <v>3</v>
      </c>
      <c r="AM101" t="n">
        <v>3</v>
      </c>
      <c r="AN101" t="n">
        <v>0</v>
      </c>
      <c r="AO101" t="n">
        <v>0</v>
      </c>
      <c r="AP101" t="inlineStr">
        <is>
          <t>No</t>
        </is>
      </c>
      <c r="AQ101" t="inlineStr">
        <is>
          <t>Yes</t>
        </is>
      </c>
      <c r="AR101">
        <f>HYPERLINK("http://catalog.hathitrust.org/Record/004139424","HathiTrust Record")</f>
        <v/>
      </c>
      <c r="AS101">
        <f>HYPERLINK("https://creighton-primo.hosted.exlibrisgroup.com/primo-explore/search?tab=default_tab&amp;search_scope=EVERYTHING&amp;vid=01CRU&amp;lang=en_US&amp;offset=0&amp;query=any,contains,991003823219702656","Catalog Record")</f>
        <v/>
      </c>
      <c r="AT101">
        <f>HYPERLINK("http://www.worldcat.org/oclc/43884757","WorldCat Record")</f>
        <v/>
      </c>
      <c r="AU101" t="inlineStr">
        <is>
          <t>346261584:eng</t>
        </is>
      </c>
      <c r="AV101" t="inlineStr">
        <is>
          <t>43884757</t>
        </is>
      </c>
      <c r="AW101" t="inlineStr">
        <is>
          <t>991003823219702656</t>
        </is>
      </c>
      <c r="AX101" t="inlineStr">
        <is>
          <t>991003823219702656</t>
        </is>
      </c>
      <c r="AY101" t="inlineStr">
        <is>
          <t>2256935160002656</t>
        </is>
      </c>
      <c r="AZ101" t="inlineStr">
        <is>
          <t>BOOK</t>
        </is>
      </c>
      <c r="BB101" t="inlineStr">
        <is>
          <t>9780253337870</t>
        </is>
      </c>
      <c r="BC101" t="inlineStr">
        <is>
          <t>32285004497730</t>
        </is>
      </c>
      <c r="BD101" t="inlineStr">
        <is>
          <t>893617816</t>
        </is>
      </c>
    </row>
    <row r="102">
      <c r="A102" t="inlineStr">
        <is>
          <t>No</t>
        </is>
      </c>
      <c r="B102" t="inlineStr">
        <is>
          <t>PG3026.S58 J3</t>
        </is>
      </c>
      <c r="C102" t="inlineStr">
        <is>
          <t>0                      PG 3026000S  58                 J  3</t>
        </is>
      </c>
      <c r="D102" t="inlineStr">
        <is>
          <t>Soviet Socialist realism : origins and theory / [by] C. Vaughan James.</t>
        </is>
      </c>
      <c r="F102" t="inlineStr">
        <is>
          <t>No</t>
        </is>
      </c>
      <c r="G102" t="inlineStr">
        <is>
          <t>1</t>
        </is>
      </c>
      <c r="H102" t="inlineStr">
        <is>
          <t>No</t>
        </is>
      </c>
      <c r="I102" t="inlineStr">
        <is>
          <t>No</t>
        </is>
      </c>
      <c r="J102" t="inlineStr">
        <is>
          <t>0</t>
        </is>
      </c>
      <c r="K102" t="inlineStr">
        <is>
          <t>James, C. V. (Caradog Vaughan)</t>
        </is>
      </c>
      <c r="L102" t="inlineStr">
        <is>
          <t>New York : St. Martin's Press, [1973]</t>
        </is>
      </c>
      <c r="M102" t="inlineStr">
        <is>
          <t>1973</t>
        </is>
      </c>
      <c r="O102" t="inlineStr">
        <is>
          <t>eng</t>
        </is>
      </c>
      <c r="P102" t="inlineStr">
        <is>
          <t>nyu</t>
        </is>
      </c>
      <c r="R102" t="inlineStr">
        <is>
          <t xml:space="preserve">PG </t>
        </is>
      </c>
      <c r="S102" t="n">
        <v>1</v>
      </c>
      <c r="T102" t="n">
        <v>1</v>
      </c>
      <c r="U102" t="inlineStr">
        <is>
          <t>2009-04-08</t>
        </is>
      </c>
      <c r="V102" t="inlineStr">
        <is>
          <t>2009-04-08</t>
        </is>
      </c>
      <c r="W102" t="inlineStr">
        <is>
          <t>1992-05-01</t>
        </is>
      </c>
      <c r="X102" t="inlineStr">
        <is>
          <t>1992-05-01</t>
        </is>
      </c>
      <c r="Y102" t="n">
        <v>335</v>
      </c>
      <c r="Z102" t="n">
        <v>300</v>
      </c>
      <c r="AA102" t="n">
        <v>350</v>
      </c>
      <c r="AB102" t="n">
        <v>2</v>
      </c>
      <c r="AC102" t="n">
        <v>2</v>
      </c>
      <c r="AD102" t="n">
        <v>10</v>
      </c>
      <c r="AE102" t="n">
        <v>13</v>
      </c>
      <c r="AF102" t="n">
        <v>2</v>
      </c>
      <c r="AG102" t="n">
        <v>3</v>
      </c>
      <c r="AH102" t="n">
        <v>2</v>
      </c>
      <c r="AI102" t="n">
        <v>3</v>
      </c>
      <c r="AJ102" t="n">
        <v>6</v>
      </c>
      <c r="AK102" t="n">
        <v>8</v>
      </c>
      <c r="AL102" t="n">
        <v>1</v>
      </c>
      <c r="AM102" t="n">
        <v>1</v>
      </c>
      <c r="AN102" t="n">
        <v>0</v>
      </c>
      <c r="AO102" t="n">
        <v>0</v>
      </c>
      <c r="AP102" t="inlineStr">
        <is>
          <t>No</t>
        </is>
      </c>
      <c r="AQ102" t="inlineStr">
        <is>
          <t>Yes</t>
        </is>
      </c>
      <c r="AR102">
        <f>HYPERLINK("http://catalog.hathitrust.org/Record/003779604","HathiTrust Record")</f>
        <v/>
      </c>
      <c r="AS102">
        <f>HYPERLINK("https://creighton-primo.hosted.exlibrisgroup.com/primo-explore/search?tab=default_tab&amp;search_scope=EVERYTHING&amp;vid=01CRU&amp;lang=en_US&amp;offset=0&amp;query=any,contains,991003359389702656","Catalog Record")</f>
        <v/>
      </c>
      <c r="AT102">
        <f>HYPERLINK("http://www.worldcat.org/oclc/895105","WorldCat Record")</f>
        <v/>
      </c>
      <c r="AU102" t="inlineStr">
        <is>
          <t>1807674:eng</t>
        </is>
      </c>
      <c r="AV102" t="inlineStr">
        <is>
          <t>895105</t>
        </is>
      </c>
      <c r="AW102" t="inlineStr">
        <is>
          <t>991003359389702656</t>
        </is>
      </c>
      <c r="AX102" t="inlineStr">
        <is>
          <t>991003359389702656</t>
        </is>
      </c>
      <c r="AY102" t="inlineStr">
        <is>
          <t>2258307570002656</t>
        </is>
      </c>
      <c r="AZ102" t="inlineStr">
        <is>
          <t>BOOK</t>
        </is>
      </c>
      <c r="BC102" t="inlineStr">
        <is>
          <t>32285001091056</t>
        </is>
      </c>
      <c r="BD102" t="inlineStr">
        <is>
          <t>893692658</t>
        </is>
      </c>
    </row>
    <row r="103">
      <c r="A103" t="inlineStr">
        <is>
          <t>No</t>
        </is>
      </c>
      <c r="B103" t="inlineStr">
        <is>
          <t>PG3026.W6 G67 1996</t>
        </is>
      </c>
      <c r="C103" t="inlineStr">
        <is>
          <t>0                      PG 3026000W  6                  G  67          1996</t>
        </is>
      </c>
      <c r="D103" t="inlineStr">
        <is>
          <t>Dehexing sex : Russian womanhood during and after glasnost / Helena Goscilo.</t>
        </is>
      </c>
      <c r="F103" t="inlineStr">
        <is>
          <t>No</t>
        </is>
      </c>
      <c r="G103" t="inlineStr">
        <is>
          <t>1</t>
        </is>
      </c>
      <c r="H103" t="inlineStr">
        <is>
          <t>No</t>
        </is>
      </c>
      <c r="I103" t="inlineStr">
        <is>
          <t>No</t>
        </is>
      </c>
      <c r="J103" t="inlineStr">
        <is>
          <t>0</t>
        </is>
      </c>
      <c r="K103" t="inlineStr">
        <is>
          <t>Goscilo, Helena, 1945-</t>
        </is>
      </c>
      <c r="L103" t="inlineStr">
        <is>
          <t>Ann Arbor : University of Michigan Press, c1996.</t>
        </is>
      </c>
      <c r="M103" t="inlineStr">
        <is>
          <t>1996</t>
        </is>
      </c>
      <c r="O103" t="inlineStr">
        <is>
          <t>eng</t>
        </is>
      </c>
      <c r="P103" t="inlineStr">
        <is>
          <t>miu</t>
        </is>
      </c>
      <c r="R103" t="inlineStr">
        <is>
          <t xml:space="preserve">PG </t>
        </is>
      </c>
      <c r="S103" t="n">
        <v>8</v>
      </c>
      <c r="T103" t="n">
        <v>8</v>
      </c>
      <c r="U103" t="inlineStr">
        <is>
          <t>1998-11-10</t>
        </is>
      </c>
      <c r="V103" t="inlineStr">
        <is>
          <t>1998-11-10</t>
        </is>
      </c>
      <c r="W103" t="inlineStr">
        <is>
          <t>1997-02-25</t>
        </is>
      </c>
      <c r="X103" t="inlineStr">
        <is>
          <t>1997-02-25</t>
        </is>
      </c>
      <c r="Y103" t="n">
        <v>342</v>
      </c>
      <c r="Z103" t="n">
        <v>280</v>
      </c>
      <c r="AA103" t="n">
        <v>282</v>
      </c>
      <c r="AB103" t="n">
        <v>2</v>
      </c>
      <c r="AC103" t="n">
        <v>2</v>
      </c>
      <c r="AD103" t="n">
        <v>12</v>
      </c>
      <c r="AE103" t="n">
        <v>12</v>
      </c>
      <c r="AF103" t="n">
        <v>1</v>
      </c>
      <c r="AG103" t="n">
        <v>1</v>
      </c>
      <c r="AH103" t="n">
        <v>6</v>
      </c>
      <c r="AI103" t="n">
        <v>6</v>
      </c>
      <c r="AJ103" t="n">
        <v>5</v>
      </c>
      <c r="AK103" t="n">
        <v>5</v>
      </c>
      <c r="AL103" t="n">
        <v>1</v>
      </c>
      <c r="AM103" t="n">
        <v>1</v>
      </c>
      <c r="AN103" t="n">
        <v>1</v>
      </c>
      <c r="AO103" t="n">
        <v>1</v>
      </c>
      <c r="AP103" t="inlineStr">
        <is>
          <t>No</t>
        </is>
      </c>
      <c r="AQ103" t="inlineStr">
        <is>
          <t>Yes</t>
        </is>
      </c>
      <c r="AR103">
        <f>HYPERLINK("http://catalog.hathitrust.org/Record/003170247","HathiTrust Record")</f>
        <v/>
      </c>
      <c r="AS103">
        <f>HYPERLINK("https://creighton-primo.hosted.exlibrisgroup.com/primo-explore/search?tab=default_tab&amp;search_scope=EVERYTHING&amp;vid=01CRU&amp;lang=en_US&amp;offset=0&amp;query=any,contains,991002577929702656","Catalog Record")</f>
        <v/>
      </c>
      <c r="AT103">
        <f>HYPERLINK("http://www.worldcat.org/oclc/33666769","WorldCat Record")</f>
        <v/>
      </c>
      <c r="AU103" t="inlineStr">
        <is>
          <t>38775475:eng</t>
        </is>
      </c>
      <c r="AV103" t="inlineStr">
        <is>
          <t>33666769</t>
        </is>
      </c>
      <c r="AW103" t="inlineStr">
        <is>
          <t>991002577929702656</t>
        </is>
      </c>
      <c r="AX103" t="inlineStr">
        <is>
          <t>991002577929702656</t>
        </is>
      </c>
      <c r="AY103" t="inlineStr">
        <is>
          <t>2257921740002656</t>
        </is>
      </c>
      <c r="AZ103" t="inlineStr">
        <is>
          <t>BOOK</t>
        </is>
      </c>
      <c r="BB103" t="inlineStr">
        <is>
          <t>9780472066148</t>
        </is>
      </c>
      <c r="BC103" t="inlineStr">
        <is>
          <t>32285002433232</t>
        </is>
      </c>
      <c r="BD103" t="inlineStr">
        <is>
          <t>893610016</t>
        </is>
      </c>
    </row>
    <row r="104">
      <c r="A104" t="inlineStr">
        <is>
          <t>No</t>
        </is>
      </c>
      <c r="B104" t="inlineStr">
        <is>
          <t>PG3041 .B67 1991</t>
        </is>
      </c>
      <c r="C104" t="inlineStr">
        <is>
          <t>0                      PG 3041000B  67          1991</t>
        </is>
      </c>
      <c r="D104" t="inlineStr">
        <is>
          <t>A history of Russian poetry / Evelyn Bristol.</t>
        </is>
      </c>
      <c r="F104" t="inlineStr">
        <is>
          <t>No</t>
        </is>
      </c>
      <c r="G104" t="inlineStr">
        <is>
          <t>1</t>
        </is>
      </c>
      <c r="H104" t="inlineStr">
        <is>
          <t>No</t>
        </is>
      </c>
      <c r="I104" t="inlineStr">
        <is>
          <t>No</t>
        </is>
      </c>
      <c r="J104" t="inlineStr">
        <is>
          <t>0</t>
        </is>
      </c>
      <c r="K104" t="inlineStr">
        <is>
          <t>Bristol, Evelyn.</t>
        </is>
      </c>
      <c r="L104" t="inlineStr">
        <is>
          <t>New York : Oxford University Press, 1991.</t>
        </is>
      </c>
      <c r="M104" t="inlineStr">
        <is>
          <t>1991</t>
        </is>
      </c>
      <c r="O104" t="inlineStr">
        <is>
          <t>eng</t>
        </is>
      </c>
      <c r="P104" t="inlineStr">
        <is>
          <t>nyu</t>
        </is>
      </c>
      <c r="R104" t="inlineStr">
        <is>
          <t xml:space="preserve">PG </t>
        </is>
      </c>
      <c r="S104" t="n">
        <v>10</v>
      </c>
      <c r="T104" t="n">
        <v>10</v>
      </c>
      <c r="U104" t="inlineStr">
        <is>
          <t>1997-09-23</t>
        </is>
      </c>
      <c r="V104" t="inlineStr">
        <is>
          <t>1997-09-23</t>
        </is>
      </c>
      <c r="W104" t="inlineStr">
        <is>
          <t>1992-11-20</t>
        </is>
      </c>
      <c r="X104" t="inlineStr">
        <is>
          <t>1992-11-20</t>
        </is>
      </c>
      <c r="Y104" t="n">
        <v>459</v>
      </c>
      <c r="Z104" t="n">
        <v>358</v>
      </c>
      <c r="AA104" t="n">
        <v>368</v>
      </c>
      <c r="AB104" t="n">
        <v>2</v>
      </c>
      <c r="AC104" t="n">
        <v>2</v>
      </c>
      <c r="AD104" t="n">
        <v>18</v>
      </c>
      <c r="AE104" t="n">
        <v>18</v>
      </c>
      <c r="AF104" t="n">
        <v>5</v>
      </c>
      <c r="AG104" t="n">
        <v>5</v>
      </c>
      <c r="AH104" t="n">
        <v>5</v>
      </c>
      <c r="AI104" t="n">
        <v>5</v>
      </c>
      <c r="AJ104" t="n">
        <v>12</v>
      </c>
      <c r="AK104" t="n">
        <v>12</v>
      </c>
      <c r="AL104" t="n">
        <v>1</v>
      </c>
      <c r="AM104" t="n">
        <v>1</v>
      </c>
      <c r="AN104" t="n">
        <v>0</v>
      </c>
      <c r="AO104" t="n">
        <v>0</v>
      </c>
      <c r="AP104" t="inlineStr">
        <is>
          <t>No</t>
        </is>
      </c>
      <c r="AQ104" t="inlineStr">
        <is>
          <t>Yes</t>
        </is>
      </c>
      <c r="AR104">
        <f>HYPERLINK("http://catalog.hathitrust.org/Record/002497183","HathiTrust Record")</f>
        <v/>
      </c>
      <c r="AS104">
        <f>HYPERLINK("https://creighton-primo.hosted.exlibrisgroup.com/primo-explore/search?tab=default_tab&amp;search_scope=EVERYTHING&amp;vid=01CRU&amp;lang=en_US&amp;offset=0&amp;query=any,contains,991001609839702656","Catalog Record")</f>
        <v/>
      </c>
      <c r="AT104">
        <f>HYPERLINK("http://www.worldcat.org/oclc/20723345","WorldCat Record")</f>
        <v/>
      </c>
      <c r="AU104" t="inlineStr">
        <is>
          <t>20598773:eng</t>
        </is>
      </c>
      <c r="AV104" t="inlineStr">
        <is>
          <t>20723345</t>
        </is>
      </c>
      <c r="AW104" t="inlineStr">
        <is>
          <t>991001609839702656</t>
        </is>
      </c>
      <c r="AX104" t="inlineStr">
        <is>
          <t>991001609839702656</t>
        </is>
      </c>
      <c r="AY104" t="inlineStr">
        <is>
          <t>2271156150002656</t>
        </is>
      </c>
      <c r="AZ104" t="inlineStr">
        <is>
          <t>BOOK</t>
        </is>
      </c>
      <c r="BB104" t="inlineStr">
        <is>
          <t>9780195044713</t>
        </is>
      </c>
      <c r="BC104" t="inlineStr">
        <is>
          <t>32285001364651</t>
        </is>
      </c>
      <c r="BD104" t="inlineStr">
        <is>
          <t>893797665</t>
        </is>
      </c>
    </row>
    <row r="105">
      <c r="A105" t="inlineStr">
        <is>
          <t>No</t>
        </is>
      </c>
      <c r="B105" t="inlineStr">
        <is>
          <t>PG3056 .P6</t>
        </is>
      </c>
      <c r="C105" t="inlineStr">
        <is>
          <t>0                      PG 3056000P  6</t>
        </is>
      </c>
      <c r="D105" t="inlineStr">
        <is>
          <t>The poets of Russia, 1890-1930.</t>
        </is>
      </c>
      <c r="F105" t="inlineStr">
        <is>
          <t>No</t>
        </is>
      </c>
      <c r="G105" t="inlineStr">
        <is>
          <t>1</t>
        </is>
      </c>
      <c r="H105" t="inlineStr">
        <is>
          <t>No</t>
        </is>
      </c>
      <c r="I105" t="inlineStr">
        <is>
          <t>No</t>
        </is>
      </c>
      <c r="J105" t="inlineStr">
        <is>
          <t>0</t>
        </is>
      </c>
      <c r="K105" t="inlineStr">
        <is>
          <t>Poggioli, Renato, 1907-1963.</t>
        </is>
      </c>
      <c r="L105" t="inlineStr">
        <is>
          <t>Cambridge, Mass., Harvard University Press, 1960.</t>
        </is>
      </c>
      <c r="M105" t="inlineStr">
        <is>
          <t>1960</t>
        </is>
      </c>
      <c r="O105" t="inlineStr">
        <is>
          <t>eng</t>
        </is>
      </c>
      <c r="P105" t="inlineStr">
        <is>
          <t>mau</t>
        </is>
      </c>
      <c r="R105" t="inlineStr">
        <is>
          <t xml:space="preserve">PG </t>
        </is>
      </c>
      <c r="S105" t="n">
        <v>3</v>
      </c>
      <c r="T105" t="n">
        <v>3</v>
      </c>
      <c r="U105" t="inlineStr">
        <is>
          <t>1999-04-13</t>
        </is>
      </c>
      <c r="V105" t="inlineStr">
        <is>
          <t>1999-04-13</t>
        </is>
      </c>
      <c r="W105" t="inlineStr">
        <is>
          <t>1997-10-02</t>
        </is>
      </c>
      <c r="X105" t="inlineStr">
        <is>
          <t>1997-10-02</t>
        </is>
      </c>
      <c r="Y105" t="n">
        <v>935</v>
      </c>
      <c r="Z105" t="n">
        <v>801</v>
      </c>
      <c r="AA105" t="n">
        <v>810</v>
      </c>
      <c r="AB105" t="n">
        <v>6</v>
      </c>
      <c r="AC105" t="n">
        <v>6</v>
      </c>
      <c r="AD105" t="n">
        <v>34</v>
      </c>
      <c r="AE105" t="n">
        <v>34</v>
      </c>
      <c r="AF105" t="n">
        <v>12</v>
      </c>
      <c r="AG105" t="n">
        <v>12</v>
      </c>
      <c r="AH105" t="n">
        <v>7</v>
      </c>
      <c r="AI105" t="n">
        <v>7</v>
      </c>
      <c r="AJ105" t="n">
        <v>16</v>
      </c>
      <c r="AK105" t="n">
        <v>16</v>
      </c>
      <c r="AL105" t="n">
        <v>5</v>
      </c>
      <c r="AM105" t="n">
        <v>5</v>
      </c>
      <c r="AN105" t="n">
        <v>0</v>
      </c>
      <c r="AO105" t="n">
        <v>0</v>
      </c>
      <c r="AP105" t="inlineStr">
        <is>
          <t>No</t>
        </is>
      </c>
      <c r="AQ105" t="inlineStr">
        <is>
          <t>Yes</t>
        </is>
      </c>
      <c r="AR105">
        <f>HYPERLINK("http://catalog.hathitrust.org/Record/001110380","HathiTrust Record")</f>
        <v/>
      </c>
      <c r="AS105">
        <f>HYPERLINK("https://creighton-primo.hosted.exlibrisgroup.com/primo-explore/search?tab=default_tab&amp;search_scope=EVERYTHING&amp;vid=01CRU&amp;lang=en_US&amp;offset=0&amp;query=any,contains,991002312369702656","Catalog Record")</f>
        <v/>
      </c>
      <c r="AT105">
        <f>HYPERLINK("http://www.worldcat.org/oclc/319728","WorldCat Record")</f>
        <v/>
      </c>
      <c r="AU105" t="inlineStr">
        <is>
          <t>1395968:eng</t>
        </is>
      </c>
      <c r="AV105" t="inlineStr">
        <is>
          <t>319728</t>
        </is>
      </c>
      <c r="AW105" t="inlineStr">
        <is>
          <t>991002312369702656</t>
        </is>
      </c>
      <c r="AX105" t="inlineStr">
        <is>
          <t>991002312369702656</t>
        </is>
      </c>
      <c r="AY105" t="inlineStr">
        <is>
          <t>2268286210002656</t>
        </is>
      </c>
      <c r="AZ105" t="inlineStr">
        <is>
          <t>BOOK</t>
        </is>
      </c>
      <c r="BC105" t="inlineStr">
        <is>
          <t>32285003238895</t>
        </is>
      </c>
      <c r="BD105" t="inlineStr">
        <is>
          <t>893903814</t>
        </is>
      </c>
    </row>
    <row r="106">
      <c r="A106" t="inlineStr">
        <is>
          <t>No</t>
        </is>
      </c>
      <c r="B106" t="inlineStr">
        <is>
          <t>PG3065.F8 M33</t>
        </is>
      </c>
      <c r="C106" t="inlineStr">
        <is>
          <t>0                      PG 3065000F  8                  M  33</t>
        </is>
      </c>
      <c r="D106" t="inlineStr">
        <is>
          <t>Russian futurism; a history.</t>
        </is>
      </c>
      <c r="F106" t="inlineStr">
        <is>
          <t>No</t>
        </is>
      </c>
      <c r="G106" t="inlineStr">
        <is>
          <t>1</t>
        </is>
      </c>
      <c r="H106" t="inlineStr">
        <is>
          <t>No</t>
        </is>
      </c>
      <c r="I106" t="inlineStr">
        <is>
          <t>No</t>
        </is>
      </c>
      <c r="J106" t="inlineStr">
        <is>
          <t>0</t>
        </is>
      </c>
      <c r="K106" t="inlineStr">
        <is>
          <t>Markov, Vladimir.</t>
        </is>
      </c>
      <c r="L106" t="inlineStr">
        <is>
          <t>Berkeley, University of California Press, 1968.</t>
        </is>
      </c>
      <c r="M106" t="inlineStr">
        <is>
          <t>1968</t>
        </is>
      </c>
      <c r="O106" t="inlineStr">
        <is>
          <t>eng</t>
        </is>
      </c>
      <c r="P106" t="inlineStr">
        <is>
          <t>cau</t>
        </is>
      </c>
      <c r="R106" t="inlineStr">
        <is>
          <t xml:space="preserve">PG </t>
        </is>
      </c>
      <c r="S106" t="n">
        <v>2</v>
      </c>
      <c r="T106" t="n">
        <v>2</v>
      </c>
      <c r="U106" t="inlineStr">
        <is>
          <t>2007-02-06</t>
        </is>
      </c>
      <c r="V106" t="inlineStr">
        <is>
          <t>2007-02-06</t>
        </is>
      </c>
      <c r="W106" t="inlineStr">
        <is>
          <t>1997-10-02</t>
        </is>
      </c>
      <c r="X106" t="inlineStr">
        <is>
          <t>1997-10-02</t>
        </is>
      </c>
      <c r="Y106" t="n">
        <v>725</v>
      </c>
      <c r="Z106" t="n">
        <v>625</v>
      </c>
      <c r="AA106" t="n">
        <v>753</v>
      </c>
      <c r="AB106" t="n">
        <v>5</v>
      </c>
      <c r="AC106" t="n">
        <v>5</v>
      </c>
      <c r="AD106" t="n">
        <v>30</v>
      </c>
      <c r="AE106" t="n">
        <v>37</v>
      </c>
      <c r="AF106" t="n">
        <v>9</v>
      </c>
      <c r="AG106" t="n">
        <v>15</v>
      </c>
      <c r="AH106" t="n">
        <v>8</v>
      </c>
      <c r="AI106" t="n">
        <v>10</v>
      </c>
      <c r="AJ106" t="n">
        <v>16</v>
      </c>
      <c r="AK106" t="n">
        <v>18</v>
      </c>
      <c r="AL106" t="n">
        <v>4</v>
      </c>
      <c r="AM106" t="n">
        <v>4</v>
      </c>
      <c r="AN106" t="n">
        <v>0</v>
      </c>
      <c r="AO106" t="n">
        <v>0</v>
      </c>
      <c r="AP106" t="inlineStr">
        <is>
          <t>No</t>
        </is>
      </c>
      <c r="AQ106" t="inlineStr">
        <is>
          <t>Yes</t>
        </is>
      </c>
      <c r="AR106">
        <f>HYPERLINK("http://catalog.hathitrust.org/Record/001110381","HathiTrust Record")</f>
        <v/>
      </c>
      <c r="AS106">
        <f>HYPERLINK("https://creighton-primo.hosted.exlibrisgroup.com/primo-explore/search?tab=default_tab&amp;search_scope=EVERYTHING&amp;vid=01CRU&amp;lang=en_US&amp;offset=0&amp;query=any,contains,991002775939702656","Catalog Record")</f>
        <v/>
      </c>
      <c r="AT106">
        <f>HYPERLINK("http://www.worldcat.org/oclc/438701","WorldCat Record")</f>
        <v/>
      </c>
      <c r="AU106" t="inlineStr">
        <is>
          <t>433207526:eng</t>
        </is>
      </c>
      <c r="AV106" t="inlineStr">
        <is>
          <t>438701</t>
        </is>
      </c>
      <c r="AW106" t="inlineStr">
        <is>
          <t>991002775939702656</t>
        </is>
      </c>
      <c r="AX106" t="inlineStr">
        <is>
          <t>991002775939702656</t>
        </is>
      </c>
      <c r="AY106" t="inlineStr">
        <is>
          <t>2265351500002656</t>
        </is>
      </c>
      <c r="AZ106" t="inlineStr">
        <is>
          <t>BOOK</t>
        </is>
      </c>
      <c r="BC106" t="inlineStr">
        <is>
          <t>32285003238903</t>
        </is>
      </c>
      <c r="BD106" t="inlineStr">
        <is>
          <t>893440505</t>
        </is>
      </c>
    </row>
    <row r="107">
      <c r="A107" t="inlineStr">
        <is>
          <t>No</t>
        </is>
      </c>
      <c r="B107" t="inlineStr">
        <is>
          <t>PG3096.R4 S5</t>
        </is>
      </c>
      <c r="C107" t="inlineStr">
        <is>
          <t>0                      PG 3096000R  4                  S  5</t>
        </is>
      </c>
      <c r="D107" t="inlineStr">
        <is>
          <t>Introduction to Russian realism / by Ernest J. Simmons.</t>
        </is>
      </c>
      <c r="F107" t="inlineStr">
        <is>
          <t>No</t>
        </is>
      </c>
      <c r="G107" t="inlineStr">
        <is>
          <t>1</t>
        </is>
      </c>
      <c r="H107" t="inlineStr">
        <is>
          <t>No</t>
        </is>
      </c>
      <c r="I107" t="inlineStr">
        <is>
          <t>No</t>
        </is>
      </c>
      <c r="J107" t="inlineStr">
        <is>
          <t>0</t>
        </is>
      </c>
      <c r="K107" t="inlineStr">
        <is>
          <t>Simmons, Ernest J. (Ernest Joseph), 1903-1972.</t>
        </is>
      </c>
      <c r="L107" t="inlineStr">
        <is>
          <t>Bloomington : Indiana University Press, [1965]</t>
        </is>
      </c>
      <c r="M107" t="inlineStr">
        <is>
          <t>1965</t>
        </is>
      </c>
      <c r="O107" t="inlineStr">
        <is>
          <t>eng</t>
        </is>
      </c>
      <c r="P107" t="inlineStr">
        <is>
          <t>inu</t>
        </is>
      </c>
      <c r="R107" t="inlineStr">
        <is>
          <t xml:space="preserve">PG </t>
        </is>
      </c>
      <c r="S107" t="n">
        <v>3</v>
      </c>
      <c r="T107" t="n">
        <v>3</v>
      </c>
      <c r="U107" t="inlineStr">
        <is>
          <t>2007-02-28</t>
        </is>
      </c>
      <c r="V107" t="inlineStr">
        <is>
          <t>2007-02-28</t>
        </is>
      </c>
      <c r="W107" t="inlineStr">
        <is>
          <t>1990-06-06</t>
        </is>
      </c>
      <c r="X107" t="inlineStr">
        <is>
          <t>1990-06-06</t>
        </is>
      </c>
      <c r="Y107" t="n">
        <v>1121</v>
      </c>
      <c r="Z107" t="n">
        <v>1037</v>
      </c>
      <c r="AA107" t="n">
        <v>1068</v>
      </c>
      <c r="AB107" t="n">
        <v>11</v>
      </c>
      <c r="AC107" t="n">
        <v>11</v>
      </c>
      <c r="AD107" t="n">
        <v>42</v>
      </c>
      <c r="AE107" t="n">
        <v>42</v>
      </c>
      <c r="AF107" t="n">
        <v>15</v>
      </c>
      <c r="AG107" t="n">
        <v>15</v>
      </c>
      <c r="AH107" t="n">
        <v>8</v>
      </c>
      <c r="AI107" t="n">
        <v>8</v>
      </c>
      <c r="AJ107" t="n">
        <v>21</v>
      </c>
      <c r="AK107" t="n">
        <v>21</v>
      </c>
      <c r="AL107" t="n">
        <v>9</v>
      </c>
      <c r="AM107" t="n">
        <v>9</v>
      </c>
      <c r="AN107" t="n">
        <v>0</v>
      </c>
      <c r="AO107" t="n">
        <v>0</v>
      </c>
      <c r="AP107" t="inlineStr">
        <is>
          <t>No</t>
        </is>
      </c>
      <c r="AQ107" t="inlineStr">
        <is>
          <t>Yes</t>
        </is>
      </c>
      <c r="AR107">
        <f>HYPERLINK("http://catalog.hathitrust.org/Record/000980762","HathiTrust Record")</f>
        <v/>
      </c>
      <c r="AS107">
        <f>HYPERLINK("https://creighton-primo.hosted.exlibrisgroup.com/primo-explore/search?tab=default_tab&amp;search_scope=EVERYTHING&amp;vid=01CRU&amp;lang=en_US&amp;offset=0&amp;query=any,contains,991002025819702656","Catalog Record")</f>
        <v/>
      </c>
      <c r="AT107">
        <f>HYPERLINK("http://www.worldcat.org/oclc/22756350","WorldCat Record")</f>
        <v/>
      </c>
      <c r="AU107" t="inlineStr">
        <is>
          <t>10792348495:eng</t>
        </is>
      </c>
      <c r="AV107" t="inlineStr">
        <is>
          <t>22756350</t>
        </is>
      </c>
      <c r="AW107" t="inlineStr">
        <is>
          <t>991002025819702656</t>
        </is>
      </c>
      <c r="AX107" t="inlineStr">
        <is>
          <t>991002025819702656</t>
        </is>
      </c>
      <c r="AY107" t="inlineStr">
        <is>
          <t>2272791560002656</t>
        </is>
      </c>
      <c r="AZ107" t="inlineStr">
        <is>
          <t>BOOK</t>
        </is>
      </c>
      <c r="BC107" t="inlineStr">
        <is>
          <t>32285000176841</t>
        </is>
      </c>
      <c r="BD107" t="inlineStr">
        <is>
          <t>893250723</t>
        </is>
      </c>
    </row>
    <row r="108">
      <c r="A108" t="inlineStr">
        <is>
          <t>No</t>
        </is>
      </c>
      <c r="B108" t="inlineStr">
        <is>
          <t>PG3098.4 .H67 1980</t>
        </is>
      </c>
      <c r="C108" t="inlineStr">
        <is>
          <t>0                      PG 3098400H  67          1980</t>
        </is>
      </c>
      <c r="D108" t="inlineStr">
        <is>
          <t>Beyond socialist realism : Soviet fiction since Ivan Denisovich / Geoffrey Hosking.</t>
        </is>
      </c>
      <c r="F108" t="inlineStr">
        <is>
          <t>No</t>
        </is>
      </c>
      <c r="G108" t="inlineStr">
        <is>
          <t>1</t>
        </is>
      </c>
      <c r="H108" t="inlineStr">
        <is>
          <t>No</t>
        </is>
      </c>
      <c r="I108" t="inlineStr">
        <is>
          <t>No</t>
        </is>
      </c>
      <c r="J108" t="inlineStr">
        <is>
          <t>0</t>
        </is>
      </c>
      <c r="K108" t="inlineStr">
        <is>
          <t>Hosking, Geoffrey A.</t>
        </is>
      </c>
      <c r="L108" t="inlineStr">
        <is>
          <t>New York : Holmes &amp; Meier Publishers, 1980.</t>
        </is>
      </c>
      <c r="M108" t="inlineStr">
        <is>
          <t>1980</t>
        </is>
      </c>
      <c r="O108" t="inlineStr">
        <is>
          <t>eng</t>
        </is>
      </c>
      <c r="P108" t="inlineStr">
        <is>
          <t>nyu</t>
        </is>
      </c>
      <c r="R108" t="inlineStr">
        <is>
          <t xml:space="preserve">PG </t>
        </is>
      </c>
      <c r="S108" t="n">
        <v>2</v>
      </c>
      <c r="T108" t="n">
        <v>2</v>
      </c>
      <c r="U108" t="inlineStr">
        <is>
          <t>2009-04-08</t>
        </is>
      </c>
      <c r="V108" t="inlineStr">
        <is>
          <t>2009-04-08</t>
        </is>
      </c>
      <c r="W108" t="inlineStr">
        <is>
          <t>1992-05-01</t>
        </is>
      </c>
      <c r="X108" t="inlineStr">
        <is>
          <t>1992-05-01</t>
        </is>
      </c>
      <c r="Y108" t="n">
        <v>576</v>
      </c>
      <c r="Z108" t="n">
        <v>513</v>
      </c>
      <c r="AA108" t="n">
        <v>561</v>
      </c>
      <c r="AB108" t="n">
        <v>3</v>
      </c>
      <c r="AC108" t="n">
        <v>5</v>
      </c>
      <c r="AD108" t="n">
        <v>25</v>
      </c>
      <c r="AE108" t="n">
        <v>28</v>
      </c>
      <c r="AF108" t="n">
        <v>11</v>
      </c>
      <c r="AG108" t="n">
        <v>12</v>
      </c>
      <c r="AH108" t="n">
        <v>8</v>
      </c>
      <c r="AI108" t="n">
        <v>8</v>
      </c>
      <c r="AJ108" t="n">
        <v>13</v>
      </c>
      <c r="AK108" t="n">
        <v>14</v>
      </c>
      <c r="AL108" t="n">
        <v>2</v>
      </c>
      <c r="AM108" t="n">
        <v>4</v>
      </c>
      <c r="AN108" t="n">
        <v>0</v>
      </c>
      <c r="AO108" t="n">
        <v>0</v>
      </c>
      <c r="AP108" t="inlineStr">
        <is>
          <t>No</t>
        </is>
      </c>
      <c r="AQ108" t="inlineStr">
        <is>
          <t>Yes</t>
        </is>
      </c>
      <c r="AR108">
        <f>HYPERLINK("http://catalog.hathitrust.org/Record/000043403","HathiTrust Record")</f>
        <v/>
      </c>
      <c r="AS108">
        <f>HYPERLINK("https://creighton-primo.hosted.exlibrisgroup.com/primo-explore/search?tab=default_tab&amp;search_scope=EVERYTHING&amp;vid=01CRU&amp;lang=en_US&amp;offset=0&amp;query=any,contains,991004688409702656","Catalog Record")</f>
        <v/>
      </c>
      <c r="AT108">
        <f>HYPERLINK("http://www.worldcat.org/oclc/4593638","WorldCat Record")</f>
        <v/>
      </c>
      <c r="AU108" t="inlineStr">
        <is>
          <t>505688:eng</t>
        </is>
      </c>
      <c r="AV108" t="inlineStr">
        <is>
          <t>4593638</t>
        </is>
      </c>
      <c r="AW108" t="inlineStr">
        <is>
          <t>991004688409702656</t>
        </is>
      </c>
      <c r="AX108" t="inlineStr">
        <is>
          <t>991004688409702656</t>
        </is>
      </c>
      <c r="AY108" t="inlineStr">
        <is>
          <t>2271397870002656</t>
        </is>
      </c>
      <c r="AZ108" t="inlineStr">
        <is>
          <t>BOOK</t>
        </is>
      </c>
      <c r="BB108" t="inlineStr">
        <is>
          <t>9780841904842</t>
        </is>
      </c>
      <c r="BC108" t="inlineStr">
        <is>
          <t>32285001091049</t>
        </is>
      </c>
      <c r="BD108" t="inlineStr">
        <is>
          <t>893424080</t>
        </is>
      </c>
    </row>
    <row r="109">
      <c r="A109" t="inlineStr">
        <is>
          <t>No</t>
        </is>
      </c>
      <c r="B109" t="inlineStr">
        <is>
          <t>PG3114 .A6 1999</t>
        </is>
      </c>
      <c r="C109" t="inlineStr">
        <is>
          <t>0                      PG 3114000A  6           1999</t>
        </is>
      </c>
      <c r="D109" t="inlineStr">
        <is>
          <t>An anthology of Russian folk epics / translated with an introduction and commentary by James Bailey and Tatyana Ivanova.</t>
        </is>
      </c>
      <c r="F109" t="inlineStr">
        <is>
          <t>No</t>
        </is>
      </c>
      <c r="G109" t="inlineStr">
        <is>
          <t>1</t>
        </is>
      </c>
      <c r="H109" t="inlineStr">
        <is>
          <t>No</t>
        </is>
      </c>
      <c r="I109" t="inlineStr">
        <is>
          <t>No</t>
        </is>
      </c>
      <c r="J109" t="inlineStr">
        <is>
          <t>0</t>
        </is>
      </c>
      <c r="L109" t="inlineStr">
        <is>
          <t>Armonk, N.Y. : M. E. Sharpe, c1999.</t>
        </is>
      </c>
      <c r="M109" t="inlineStr">
        <is>
          <t>1999</t>
        </is>
      </c>
      <c r="N109" t="inlineStr">
        <is>
          <t>Pbk. ed.</t>
        </is>
      </c>
      <c r="O109" t="inlineStr">
        <is>
          <t>eng</t>
        </is>
      </c>
      <c r="P109" t="inlineStr">
        <is>
          <t>nyu</t>
        </is>
      </c>
      <c r="Q109" t="inlineStr">
        <is>
          <t>Folklores and folk cultures of Eastern Europe</t>
        </is>
      </c>
      <c r="R109" t="inlineStr">
        <is>
          <t xml:space="preserve">PG </t>
        </is>
      </c>
      <c r="S109" t="n">
        <v>2</v>
      </c>
      <c r="T109" t="n">
        <v>2</v>
      </c>
      <c r="U109" t="inlineStr">
        <is>
          <t>2000-08-23</t>
        </is>
      </c>
      <c r="V109" t="inlineStr">
        <is>
          <t>2000-08-23</t>
        </is>
      </c>
      <c r="W109" t="inlineStr">
        <is>
          <t>2000-08-14</t>
        </is>
      </c>
      <c r="X109" t="inlineStr">
        <is>
          <t>2000-08-14</t>
        </is>
      </c>
      <c r="Y109" t="n">
        <v>93</v>
      </c>
      <c r="Z109" t="n">
        <v>81</v>
      </c>
      <c r="AA109" t="n">
        <v>1462</v>
      </c>
      <c r="AB109" t="n">
        <v>2</v>
      </c>
      <c r="AC109" t="n">
        <v>45</v>
      </c>
      <c r="AD109" t="n">
        <v>3</v>
      </c>
      <c r="AE109" t="n">
        <v>46</v>
      </c>
      <c r="AF109" t="n">
        <v>0</v>
      </c>
      <c r="AG109" t="n">
        <v>17</v>
      </c>
      <c r="AH109" t="n">
        <v>2</v>
      </c>
      <c r="AI109" t="n">
        <v>7</v>
      </c>
      <c r="AJ109" t="n">
        <v>0</v>
      </c>
      <c r="AK109" t="n">
        <v>17</v>
      </c>
      <c r="AL109" t="n">
        <v>1</v>
      </c>
      <c r="AM109" t="n">
        <v>14</v>
      </c>
      <c r="AN109" t="n">
        <v>0</v>
      </c>
      <c r="AO109" t="n">
        <v>0</v>
      </c>
      <c r="AP109" t="inlineStr">
        <is>
          <t>No</t>
        </is>
      </c>
      <c r="AQ109" t="inlineStr">
        <is>
          <t>No</t>
        </is>
      </c>
      <c r="AS109">
        <f>HYPERLINK("https://creighton-primo.hosted.exlibrisgroup.com/primo-explore/search?tab=default_tab&amp;search_scope=EVERYTHING&amp;vid=01CRU&amp;lang=en_US&amp;offset=0&amp;query=any,contains,991003265239702656","Catalog Record")</f>
        <v/>
      </c>
      <c r="AT109">
        <f>HYPERLINK("http://www.worldcat.org/oclc/40966777","WorldCat Record")</f>
        <v/>
      </c>
      <c r="AU109" t="inlineStr">
        <is>
          <t>416526568:eng</t>
        </is>
      </c>
      <c r="AV109" t="inlineStr">
        <is>
          <t>40966777</t>
        </is>
      </c>
      <c r="AW109" t="inlineStr">
        <is>
          <t>991003265239702656</t>
        </is>
      </c>
      <c r="AX109" t="inlineStr">
        <is>
          <t>991003265239702656</t>
        </is>
      </c>
      <c r="AY109" t="inlineStr">
        <is>
          <t>2265273010002656</t>
        </is>
      </c>
      <c r="AZ109" t="inlineStr">
        <is>
          <t>BOOK</t>
        </is>
      </c>
      <c r="BB109" t="inlineStr">
        <is>
          <t>9780873326414</t>
        </is>
      </c>
      <c r="BC109" t="inlineStr">
        <is>
          <t>32285003757316</t>
        </is>
      </c>
      <c r="BD109" t="inlineStr">
        <is>
          <t>893524614</t>
        </is>
      </c>
    </row>
    <row r="110">
      <c r="A110" t="inlineStr">
        <is>
          <t>No</t>
        </is>
      </c>
      <c r="B110" t="inlineStr">
        <is>
          <t>PG3130 .Z4</t>
        </is>
      </c>
      <c r="C110" t="inlineStr">
        <is>
          <t>0                      PG 3130000Z  4</t>
        </is>
      </c>
      <c r="D110" t="inlineStr">
        <is>
          <t>Medieval Russia's epics, chronicles, and tales. Edited, translated, and with an introd. by Serge A. Zenkovsky.</t>
        </is>
      </c>
      <c r="F110" t="inlineStr">
        <is>
          <t>No</t>
        </is>
      </c>
      <c r="G110" t="inlineStr">
        <is>
          <t>1</t>
        </is>
      </c>
      <c r="H110" t="inlineStr">
        <is>
          <t>No</t>
        </is>
      </c>
      <c r="I110" t="inlineStr">
        <is>
          <t>No</t>
        </is>
      </c>
      <c r="J110" t="inlineStr">
        <is>
          <t>0</t>
        </is>
      </c>
      <c r="K110" t="inlineStr">
        <is>
          <t>Zenkovsky, Serge A. editor.</t>
        </is>
      </c>
      <c r="L110" t="inlineStr">
        <is>
          <t>New York, Dutton, 1963.</t>
        </is>
      </c>
      <c r="M110" t="inlineStr">
        <is>
          <t>1963</t>
        </is>
      </c>
      <c r="N110" t="inlineStr">
        <is>
          <t>[1st ed.]</t>
        </is>
      </c>
      <c r="O110" t="inlineStr">
        <is>
          <t>eng</t>
        </is>
      </c>
      <c r="P110" t="inlineStr">
        <is>
          <t>nyu</t>
        </is>
      </c>
      <c r="R110" t="inlineStr">
        <is>
          <t xml:space="preserve">PG </t>
        </is>
      </c>
      <c r="S110" t="n">
        <v>3</v>
      </c>
      <c r="T110" t="n">
        <v>3</v>
      </c>
      <c r="U110" t="inlineStr">
        <is>
          <t>2003-11-18</t>
        </is>
      </c>
      <c r="V110" t="inlineStr">
        <is>
          <t>2003-11-18</t>
        </is>
      </c>
      <c r="W110" t="inlineStr">
        <is>
          <t>1997-10-02</t>
        </is>
      </c>
      <c r="X110" t="inlineStr">
        <is>
          <t>1997-10-02</t>
        </is>
      </c>
      <c r="Y110" t="n">
        <v>792</v>
      </c>
      <c r="Z110" t="n">
        <v>692</v>
      </c>
      <c r="AA110" t="n">
        <v>1050</v>
      </c>
      <c r="AB110" t="n">
        <v>6</v>
      </c>
      <c r="AC110" t="n">
        <v>11</v>
      </c>
      <c r="AD110" t="n">
        <v>29</v>
      </c>
      <c r="AE110" t="n">
        <v>41</v>
      </c>
      <c r="AF110" t="n">
        <v>11</v>
      </c>
      <c r="AG110" t="n">
        <v>15</v>
      </c>
      <c r="AH110" t="n">
        <v>5</v>
      </c>
      <c r="AI110" t="n">
        <v>6</v>
      </c>
      <c r="AJ110" t="n">
        <v>16</v>
      </c>
      <c r="AK110" t="n">
        <v>20</v>
      </c>
      <c r="AL110" t="n">
        <v>5</v>
      </c>
      <c r="AM110" t="n">
        <v>8</v>
      </c>
      <c r="AN110" t="n">
        <v>0</v>
      </c>
      <c r="AO110" t="n">
        <v>0</v>
      </c>
      <c r="AP110" t="inlineStr">
        <is>
          <t>No</t>
        </is>
      </c>
      <c r="AQ110" t="inlineStr">
        <is>
          <t>Yes</t>
        </is>
      </c>
      <c r="AR110">
        <f>HYPERLINK("http://catalog.hathitrust.org/Record/000980763","HathiTrust Record")</f>
        <v/>
      </c>
      <c r="AS110">
        <f>HYPERLINK("https://creighton-primo.hosted.exlibrisgroup.com/primo-explore/search?tab=default_tab&amp;search_scope=EVERYTHING&amp;vid=01CRU&amp;lang=en_US&amp;offset=0&amp;query=any,contains,991002327839702656","Catalog Record")</f>
        <v/>
      </c>
      <c r="AT110">
        <f>HYPERLINK("http://www.worldcat.org/oclc/321350","WorldCat Record")</f>
        <v/>
      </c>
      <c r="AU110" t="inlineStr">
        <is>
          <t>1401816:eng</t>
        </is>
      </c>
      <c r="AV110" t="inlineStr">
        <is>
          <t>321350</t>
        </is>
      </c>
      <c r="AW110" t="inlineStr">
        <is>
          <t>991002327839702656</t>
        </is>
      </c>
      <c r="AX110" t="inlineStr">
        <is>
          <t>991002327839702656</t>
        </is>
      </c>
      <c r="AY110" t="inlineStr">
        <is>
          <t>2255957960002656</t>
        </is>
      </c>
      <c r="AZ110" t="inlineStr">
        <is>
          <t>BOOK</t>
        </is>
      </c>
      <c r="BC110" t="inlineStr">
        <is>
          <t>32285003238978</t>
        </is>
      </c>
      <c r="BD110" t="inlineStr">
        <is>
          <t>893257156</t>
        </is>
      </c>
    </row>
    <row r="111">
      <c r="A111" t="inlineStr">
        <is>
          <t>No</t>
        </is>
      </c>
      <c r="B111" t="inlineStr">
        <is>
          <t>PG3213 .A56 1996</t>
        </is>
      </c>
      <c r="C111" t="inlineStr">
        <is>
          <t>0                      PG 3213000A  56          1996</t>
        </is>
      </c>
      <c r="D111" t="inlineStr">
        <is>
          <t>An Anthology of Russian literature from earliest writings to modern fiction : introduction to a culture / edited by Nicholas Rzhevsky.</t>
        </is>
      </c>
      <c r="F111" t="inlineStr">
        <is>
          <t>No</t>
        </is>
      </c>
      <c r="G111" t="inlineStr">
        <is>
          <t>1</t>
        </is>
      </c>
      <c r="H111" t="inlineStr">
        <is>
          <t>No</t>
        </is>
      </c>
      <c r="I111" t="inlineStr">
        <is>
          <t>No</t>
        </is>
      </c>
      <c r="J111" t="inlineStr">
        <is>
          <t>0</t>
        </is>
      </c>
      <c r="L111" t="inlineStr">
        <is>
          <t>Armonk, N.Y. : M.E. Sharpe, c1996.</t>
        </is>
      </c>
      <c r="M111" t="inlineStr">
        <is>
          <t>1996</t>
        </is>
      </c>
      <c r="O111" t="inlineStr">
        <is>
          <t>eng</t>
        </is>
      </c>
      <c r="P111" t="inlineStr">
        <is>
          <t>nyu</t>
        </is>
      </c>
      <c r="R111" t="inlineStr">
        <is>
          <t xml:space="preserve">PG </t>
        </is>
      </c>
      <c r="S111" t="n">
        <v>4</v>
      </c>
      <c r="T111" t="n">
        <v>4</v>
      </c>
      <c r="U111" t="inlineStr">
        <is>
          <t>1997-09-23</t>
        </is>
      </c>
      <c r="V111" t="inlineStr">
        <is>
          <t>1997-09-23</t>
        </is>
      </c>
      <c r="W111" t="inlineStr">
        <is>
          <t>1996-08-13</t>
        </is>
      </c>
      <c r="X111" t="inlineStr">
        <is>
          <t>1996-08-13</t>
        </is>
      </c>
      <c r="Y111" t="n">
        <v>577</v>
      </c>
      <c r="Z111" t="n">
        <v>516</v>
      </c>
      <c r="AA111" t="n">
        <v>1111</v>
      </c>
      <c r="AB111" t="n">
        <v>7</v>
      </c>
      <c r="AC111" t="n">
        <v>10</v>
      </c>
      <c r="AD111" t="n">
        <v>19</v>
      </c>
      <c r="AE111" t="n">
        <v>31</v>
      </c>
      <c r="AF111" t="n">
        <v>6</v>
      </c>
      <c r="AG111" t="n">
        <v>10</v>
      </c>
      <c r="AH111" t="n">
        <v>3</v>
      </c>
      <c r="AI111" t="n">
        <v>8</v>
      </c>
      <c r="AJ111" t="n">
        <v>12</v>
      </c>
      <c r="AK111" t="n">
        <v>14</v>
      </c>
      <c r="AL111" t="n">
        <v>4</v>
      </c>
      <c r="AM111" t="n">
        <v>7</v>
      </c>
      <c r="AN111" t="n">
        <v>0</v>
      </c>
      <c r="AO111" t="n">
        <v>0</v>
      </c>
      <c r="AP111" t="inlineStr">
        <is>
          <t>No</t>
        </is>
      </c>
      <c r="AQ111" t="inlineStr">
        <is>
          <t>Yes</t>
        </is>
      </c>
      <c r="AR111">
        <f>HYPERLINK("http://catalog.hathitrust.org/Record/003122420","HathiTrust Record")</f>
        <v/>
      </c>
      <c r="AS111">
        <f>HYPERLINK("https://creighton-primo.hosted.exlibrisgroup.com/primo-explore/search?tab=default_tab&amp;search_scope=EVERYTHING&amp;vid=01CRU&amp;lang=en_US&amp;offset=0&amp;query=any,contains,991002552379702656","Catalog Record")</f>
        <v/>
      </c>
      <c r="AT111">
        <f>HYPERLINK("http://www.worldcat.org/oclc/33163107","WorldCat Record")</f>
        <v/>
      </c>
      <c r="AU111" t="inlineStr">
        <is>
          <t>799890769:eng</t>
        </is>
      </c>
      <c r="AV111" t="inlineStr">
        <is>
          <t>33163107</t>
        </is>
      </c>
      <c r="AW111" t="inlineStr">
        <is>
          <t>991002552379702656</t>
        </is>
      </c>
      <c r="AX111" t="inlineStr">
        <is>
          <t>991002552379702656</t>
        </is>
      </c>
      <c r="AY111" t="inlineStr">
        <is>
          <t>2255311640002656</t>
        </is>
      </c>
      <c r="AZ111" t="inlineStr">
        <is>
          <t>BOOK</t>
        </is>
      </c>
      <c r="BB111" t="inlineStr">
        <is>
          <t>9781563244216</t>
        </is>
      </c>
      <c r="BC111" t="inlineStr">
        <is>
          <t>32285002274701</t>
        </is>
      </c>
      <c r="BD111" t="inlineStr">
        <is>
          <t>893786285</t>
        </is>
      </c>
    </row>
    <row r="112">
      <c r="A112" t="inlineStr">
        <is>
          <t>No</t>
        </is>
      </c>
      <c r="B112" t="inlineStr">
        <is>
          <t>PG3213 .B5 1977</t>
        </is>
      </c>
      <c r="C112" t="inlineStr">
        <is>
          <t>0                      PG 3213000B  5           1977</t>
        </is>
      </c>
      <c r="D112" t="inlineStr">
        <is>
          <t>The Bitter air of exile : Russian writers in the West, 1922-1972 / edited by Simon Karlinsky and Alfred Appel, Jr.</t>
        </is>
      </c>
      <c r="F112" t="inlineStr">
        <is>
          <t>No</t>
        </is>
      </c>
      <c r="G112" t="inlineStr">
        <is>
          <t>1</t>
        </is>
      </c>
      <c r="H112" t="inlineStr">
        <is>
          <t>No</t>
        </is>
      </c>
      <c r="I112" t="inlineStr">
        <is>
          <t>No</t>
        </is>
      </c>
      <c r="J112" t="inlineStr">
        <is>
          <t>0</t>
        </is>
      </c>
      <c r="L112" t="inlineStr">
        <is>
          <t>Berkeley : University of California Press, c1977.</t>
        </is>
      </c>
      <c r="M112" t="inlineStr">
        <is>
          <t>1977</t>
        </is>
      </c>
      <c r="N112" t="inlineStr">
        <is>
          <t>Rev.</t>
        </is>
      </c>
      <c r="O112" t="inlineStr">
        <is>
          <t>eng</t>
        </is>
      </c>
      <c r="P112" t="inlineStr">
        <is>
          <t>cau</t>
        </is>
      </c>
      <c r="R112" t="inlineStr">
        <is>
          <t xml:space="preserve">PG </t>
        </is>
      </c>
      <c r="S112" t="n">
        <v>2</v>
      </c>
      <c r="T112" t="n">
        <v>2</v>
      </c>
      <c r="U112" t="inlineStr">
        <is>
          <t>1995-09-22</t>
        </is>
      </c>
      <c r="V112" t="inlineStr">
        <is>
          <t>1995-09-22</t>
        </is>
      </c>
      <c r="W112" t="inlineStr">
        <is>
          <t>1991-10-18</t>
        </is>
      </c>
      <c r="X112" t="inlineStr">
        <is>
          <t>1991-10-18</t>
        </is>
      </c>
      <c r="Y112" t="n">
        <v>601</v>
      </c>
      <c r="Z112" t="n">
        <v>510</v>
      </c>
      <c r="AA112" t="n">
        <v>513</v>
      </c>
      <c r="AB112" t="n">
        <v>4</v>
      </c>
      <c r="AC112" t="n">
        <v>4</v>
      </c>
      <c r="AD112" t="n">
        <v>24</v>
      </c>
      <c r="AE112" t="n">
        <v>24</v>
      </c>
      <c r="AF112" t="n">
        <v>7</v>
      </c>
      <c r="AG112" t="n">
        <v>7</v>
      </c>
      <c r="AH112" t="n">
        <v>6</v>
      </c>
      <c r="AI112" t="n">
        <v>6</v>
      </c>
      <c r="AJ112" t="n">
        <v>13</v>
      </c>
      <c r="AK112" t="n">
        <v>13</v>
      </c>
      <c r="AL112" t="n">
        <v>3</v>
      </c>
      <c r="AM112" t="n">
        <v>3</v>
      </c>
      <c r="AN112" t="n">
        <v>0</v>
      </c>
      <c r="AO112" t="n">
        <v>0</v>
      </c>
      <c r="AP112" t="inlineStr">
        <is>
          <t>No</t>
        </is>
      </c>
      <c r="AQ112" t="inlineStr">
        <is>
          <t>Yes</t>
        </is>
      </c>
      <c r="AR112">
        <f>HYPERLINK("http://catalog.hathitrust.org/Record/000751183","HathiTrust Record")</f>
        <v/>
      </c>
      <c r="AS112">
        <f>HYPERLINK("https://creighton-primo.hosted.exlibrisgroup.com/primo-explore/search?tab=default_tab&amp;search_scope=EVERYTHING&amp;vid=01CRU&amp;lang=en_US&amp;offset=0&amp;query=any,contains,991004424299702656","Catalog Record")</f>
        <v/>
      </c>
      <c r="AT112">
        <f>HYPERLINK("http://www.worldcat.org/oclc/3396213","WorldCat Record")</f>
        <v/>
      </c>
      <c r="AU112" t="inlineStr">
        <is>
          <t>890024085:eng</t>
        </is>
      </c>
      <c r="AV112" t="inlineStr">
        <is>
          <t>3396213</t>
        </is>
      </c>
      <c r="AW112" t="inlineStr">
        <is>
          <t>991004424299702656</t>
        </is>
      </c>
      <c r="AX112" t="inlineStr">
        <is>
          <t>991004424299702656</t>
        </is>
      </c>
      <c r="AY112" t="inlineStr">
        <is>
          <t>2267404410002656</t>
        </is>
      </c>
      <c r="AZ112" t="inlineStr">
        <is>
          <t>BOOK</t>
        </is>
      </c>
      <c r="BB112" t="inlineStr">
        <is>
          <t>9780520028463</t>
        </is>
      </c>
      <c r="BC112" t="inlineStr">
        <is>
          <t>32285000776806</t>
        </is>
      </c>
      <c r="BD112" t="inlineStr">
        <is>
          <t>893319206</t>
        </is>
      </c>
    </row>
    <row r="113">
      <c r="A113" t="inlineStr">
        <is>
          <t>No</t>
        </is>
      </c>
      <c r="B113" t="inlineStr">
        <is>
          <t>PG3213 .G5</t>
        </is>
      </c>
      <c r="C113" t="inlineStr">
        <is>
          <t>0                      PG 3213000G  5</t>
        </is>
      </c>
      <c r="D113" t="inlineStr">
        <is>
          <t>Russia's lost literature of the absurd : a literary discovery : selected works of Daniil Kharms and Alexander Vvedensky / edited and translated by George Gibian.</t>
        </is>
      </c>
      <c r="F113" t="inlineStr">
        <is>
          <t>No</t>
        </is>
      </c>
      <c r="G113" t="inlineStr">
        <is>
          <t>1</t>
        </is>
      </c>
      <c r="H113" t="inlineStr">
        <is>
          <t>No</t>
        </is>
      </c>
      <c r="I113" t="inlineStr">
        <is>
          <t>No</t>
        </is>
      </c>
      <c r="J113" t="inlineStr">
        <is>
          <t>0</t>
        </is>
      </c>
      <c r="K113" t="inlineStr">
        <is>
          <t>Gibian, George, compiler.</t>
        </is>
      </c>
      <c r="L113" t="inlineStr">
        <is>
          <t>Ithaca : Cornell University Press, [1971]</t>
        </is>
      </c>
      <c r="M113" t="inlineStr">
        <is>
          <t>1971</t>
        </is>
      </c>
      <c r="O113" t="inlineStr">
        <is>
          <t>eng</t>
        </is>
      </c>
      <c r="P113" t="inlineStr">
        <is>
          <t>nyu</t>
        </is>
      </c>
      <c r="R113" t="inlineStr">
        <is>
          <t xml:space="preserve">PG </t>
        </is>
      </c>
      <c r="S113" t="n">
        <v>2</v>
      </c>
      <c r="T113" t="n">
        <v>2</v>
      </c>
      <c r="U113" t="inlineStr">
        <is>
          <t>1993-10-31</t>
        </is>
      </c>
      <c r="V113" t="inlineStr">
        <is>
          <t>1993-10-31</t>
        </is>
      </c>
      <c r="W113" t="inlineStr">
        <is>
          <t>1991-08-12</t>
        </is>
      </c>
      <c r="X113" t="inlineStr">
        <is>
          <t>1991-08-12</t>
        </is>
      </c>
      <c r="Y113" t="n">
        <v>666</v>
      </c>
      <c r="Z113" t="n">
        <v>585</v>
      </c>
      <c r="AA113" t="n">
        <v>642</v>
      </c>
      <c r="AB113" t="n">
        <v>6</v>
      </c>
      <c r="AC113" t="n">
        <v>6</v>
      </c>
      <c r="AD113" t="n">
        <v>26</v>
      </c>
      <c r="AE113" t="n">
        <v>26</v>
      </c>
      <c r="AF113" t="n">
        <v>7</v>
      </c>
      <c r="AG113" t="n">
        <v>7</v>
      </c>
      <c r="AH113" t="n">
        <v>6</v>
      </c>
      <c r="AI113" t="n">
        <v>6</v>
      </c>
      <c r="AJ113" t="n">
        <v>15</v>
      </c>
      <c r="AK113" t="n">
        <v>15</v>
      </c>
      <c r="AL113" t="n">
        <v>5</v>
      </c>
      <c r="AM113" t="n">
        <v>5</v>
      </c>
      <c r="AN113" t="n">
        <v>0</v>
      </c>
      <c r="AO113" t="n">
        <v>0</v>
      </c>
      <c r="AP113" t="inlineStr">
        <is>
          <t>No</t>
        </is>
      </c>
      <c r="AQ113" t="inlineStr">
        <is>
          <t>Yes</t>
        </is>
      </c>
      <c r="AR113">
        <f>HYPERLINK("http://catalog.hathitrust.org/Record/001059547","HathiTrust Record")</f>
        <v/>
      </c>
      <c r="AS113">
        <f>HYPERLINK("https://creighton-primo.hosted.exlibrisgroup.com/primo-explore/search?tab=default_tab&amp;search_scope=EVERYTHING&amp;vid=01CRU&amp;lang=en_US&amp;offset=0&amp;query=any,contains,991000922659702656","Catalog Record")</f>
        <v/>
      </c>
      <c r="AT113">
        <f>HYPERLINK("http://www.worldcat.org/oclc/162229","WorldCat Record")</f>
        <v/>
      </c>
      <c r="AU113" t="inlineStr">
        <is>
          <t>836673844:eng</t>
        </is>
      </c>
      <c r="AV113" t="inlineStr">
        <is>
          <t>162229</t>
        </is>
      </c>
      <c r="AW113" t="inlineStr">
        <is>
          <t>991000922659702656</t>
        </is>
      </c>
      <c r="AX113" t="inlineStr">
        <is>
          <t>991000922659702656</t>
        </is>
      </c>
      <c r="AY113" t="inlineStr">
        <is>
          <t>2268915330002656</t>
        </is>
      </c>
      <c r="AZ113" t="inlineStr">
        <is>
          <t>BOOK</t>
        </is>
      </c>
      <c r="BB113" t="inlineStr">
        <is>
          <t>9780801406539</t>
        </is>
      </c>
      <c r="BC113" t="inlineStr">
        <is>
          <t>32285000701432</t>
        </is>
      </c>
      <c r="BD113" t="inlineStr">
        <is>
          <t>893690156</t>
        </is>
      </c>
    </row>
    <row r="114">
      <c r="A114" t="inlineStr">
        <is>
          <t>No</t>
        </is>
      </c>
      <c r="B114" t="inlineStr">
        <is>
          <t>PG3213 .W5 1967</t>
        </is>
      </c>
      <c r="C114" t="inlineStr">
        <is>
          <t>0                      PG 3213000W  5           1967</t>
        </is>
      </c>
      <c r="D114" t="inlineStr">
        <is>
          <t>Anthology of Russian literature from the earliest period to the present time.</t>
        </is>
      </c>
      <c r="F114" t="inlineStr">
        <is>
          <t>Yes</t>
        </is>
      </c>
      <c r="G114" t="inlineStr">
        <is>
          <t>1</t>
        </is>
      </c>
      <c r="H114" t="inlineStr">
        <is>
          <t>Yes</t>
        </is>
      </c>
      <c r="I114" t="inlineStr">
        <is>
          <t>No</t>
        </is>
      </c>
      <c r="J114" t="inlineStr">
        <is>
          <t>0</t>
        </is>
      </c>
      <c r="K114" t="inlineStr">
        <is>
          <t>Wiener, Leo, 1862-1939.</t>
        </is>
      </c>
      <c r="L114" t="inlineStr">
        <is>
          <t>New York, B. Blom [1967]</t>
        </is>
      </c>
      <c r="M114" t="inlineStr">
        <is>
          <t>1967</t>
        </is>
      </c>
      <c r="O114" t="inlineStr">
        <is>
          <t>eng</t>
        </is>
      </c>
      <c r="P114" t="inlineStr">
        <is>
          <t>nyu</t>
        </is>
      </c>
      <c r="R114" t="inlineStr">
        <is>
          <t xml:space="preserve">PG </t>
        </is>
      </c>
      <c r="S114" t="n">
        <v>0</v>
      </c>
      <c r="T114" t="n">
        <v>1</v>
      </c>
      <c r="V114" t="inlineStr">
        <is>
          <t>2002-09-24</t>
        </is>
      </c>
      <c r="W114" t="inlineStr">
        <is>
          <t>1997-10-02</t>
        </is>
      </c>
      <c r="X114" t="inlineStr">
        <is>
          <t>1997-10-02</t>
        </is>
      </c>
      <c r="Y114" t="n">
        <v>689</v>
      </c>
      <c r="Z114" t="n">
        <v>656</v>
      </c>
      <c r="AA114" t="n">
        <v>668</v>
      </c>
      <c r="AB114" t="n">
        <v>5</v>
      </c>
      <c r="AC114" t="n">
        <v>5</v>
      </c>
      <c r="AD114" t="n">
        <v>23</v>
      </c>
      <c r="AE114" t="n">
        <v>23</v>
      </c>
      <c r="AF114" t="n">
        <v>9</v>
      </c>
      <c r="AG114" t="n">
        <v>9</v>
      </c>
      <c r="AH114" t="n">
        <v>5</v>
      </c>
      <c r="AI114" t="n">
        <v>5</v>
      </c>
      <c r="AJ114" t="n">
        <v>9</v>
      </c>
      <c r="AK114" t="n">
        <v>9</v>
      </c>
      <c r="AL114" t="n">
        <v>3</v>
      </c>
      <c r="AM114" t="n">
        <v>3</v>
      </c>
      <c r="AN114" t="n">
        <v>0</v>
      </c>
      <c r="AO114" t="n">
        <v>0</v>
      </c>
      <c r="AP114" t="inlineStr">
        <is>
          <t>No</t>
        </is>
      </c>
      <c r="AQ114" t="inlineStr">
        <is>
          <t>Yes</t>
        </is>
      </c>
      <c r="AR114">
        <f>HYPERLINK("http://catalog.hathitrust.org/Record/000980766","HathiTrust Record")</f>
        <v/>
      </c>
      <c r="AS114">
        <f>HYPERLINK("https://creighton-primo.hosted.exlibrisgroup.com/primo-explore/search?tab=default_tab&amp;search_scope=EVERYTHING&amp;vid=01CRU&amp;lang=en_US&amp;offset=0&amp;query=any,contains,991002327919702656","Catalog Record")</f>
        <v/>
      </c>
      <c r="AT114">
        <f>HYPERLINK("http://www.worldcat.org/oclc/321360","WorldCat Record")</f>
        <v/>
      </c>
      <c r="AU114" t="inlineStr">
        <is>
          <t>3372814920:eng</t>
        </is>
      </c>
      <c r="AV114" t="inlineStr">
        <is>
          <t>321360</t>
        </is>
      </c>
      <c r="AW114" t="inlineStr">
        <is>
          <t>991002327919702656</t>
        </is>
      </c>
      <c r="AX114" t="inlineStr">
        <is>
          <t>991002327919702656</t>
        </is>
      </c>
      <c r="AY114" t="inlineStr">
        <is>
          <t>2255955820002656</t>
        </is>
      </c>
      <c r="AZ114" t="inlineStr">
        <is>
          <t>BOOK</t>
        </is>
      </c>
      <c r="BC114" t="inlineStr">
        <is>
          <t>32285003239083</t>
        </is>
      </c>
      <c r="BD114" t="inlineStr">
        <is>
          <t>893257157</t>
        </is>
      </c>
    </row>
    <row r="115">
      <c r="A115" t="inlineStr">
        <is>
          <t>No</t>
        </is>
      </c>
      <c r="B115" t="inlineStr">
        <is>
          <t>PG3213 .W5 1967 V2</t>
        </is>
      </c>
      <c r="C115" t="inlineStr">
        <is>
          <t>0                      PG 3213000W  5           1967   V  2</t>
        </is>
      </c>
      <c r="D115" t="inlineStr">
        <is>
          <t>Anthology of Russian literature from the earliest period to the present time.</t>
        </is>
      </c>
      <c r="F115" t="inlineStr">
        <is>
          <t>Yes</t>
        </is>
      </c>
      <c r="G115" t="inlineStr">
        <is>
          <t>1</t>
        </is>
      </c>
      <c r="H115" t="inlineStr">
        <is>
          <t>Yes</t>
        </is>
      </c>
      <c r="I115" t="inlineStr">
        <is>
          <t>No</t>
        </is>
      </c>
      <c r="J115" t="inlineStr">
        <is>
          <t>0</t>
        </is>
      </c>
      <c r="K115" t="inlineStr">
        <is>
          <t>Wiener, Leo, 1862-1939.</t>
        </is>
      </c>
      <c r="L115" t="inlineStr">
        <is>
          <t>New York, B. Blom [1967]</t>
        </is>
      </c>
      <c r="M115" t="inlineStr">
        <is>
          <t>1967</t>
        </is>
      </c>
      <c r="O115" t="inlineStr">
        <is>
          <t>eng</t>
        </is>
      </c>
      <c r="P115" t="inlineStr">
        <is>
          <t>nyu</t>
        </is>
      </c>
      <c r="R115" t="inlineStr">
        <is>
          <t xml:space="preserve">PG </t>
        </is>
      </c>
      <c r="S115" t="n">
        <v>1</v>
      </c>
      <c r="T115" t="n">
        <v>1</v>
      </c>
      <c r="U115" t="inlineStr">
        <is>
          <t>2002-09-24</t>
        </is>
      </c>
      <c r="V115" t="inlineStr">
        <is>
          <t>2002-09-24</t>
        </is>
      </c>
      <c r="W115" t="inlineStr">
        <is>
          <t>1997-10-02</t>
        </is>
      </c>
      <c r="X115" t="inlineStr">
        <is>
          <t>1997-10-02</t>
        </is>
      </c>
      <c r="Y115" t="n">
        <v>689</v>
      </c>
      <c r="Z115" t="n">
        <v>656</v>
      </c>
      <c r="AA115" t="n">
        <v>668</v>
      </c>
      <c r="AB115" t="n">
        <v>5</v>
      </c>
      <c r="AC115" t="n">
        <v>5</v>
      </c>
      <c r="AD115" t="n">
        <v>23</v>
      </c>
      <c r="AE115" t="n">
        <v>23</v>
      </c>
      <c r="AF115" t="n">
        <v>9</v>
      </c>
      <c r="AG115" t="n">
        <v>9</v>
      </c>
      <c r="AH115" t="n">
        <v>5</v>
      </c>
      <c r="AI115" t="n">
        <v>5</v>
      </c>
      <c r="AJ115" t="n">
        <v>9</v>
      </c>
      <c r="AK115" t="n">
        <v>9</v>
      </c>
      <c r="AL115" t="n">
        <v>3</v>
      </c>
      <c r="AM115" t="n">
        <v>3</v>
      </c>
      <c r="AN115" t="n">
        <v>0</v>
      </c>
      <c r="AO115" t="n">
        <v>0</v>
      </c>
      <c r="AP115" t="inlineStr">
        <is>
          <t>No</t>
        </is>
      </c>
      <c r="AQ115" t="inlineStr">
        <is>
          <t>Yes</t>
        </is>
      </c>
      <c r="AR115">
        <f>HYPERLINK("http://catalog.hathitrust.org/Record/000980766","HathiTrust Record")</f>
        <v/>
      </c>
      <c r="AS115">
        <f>HYPERLINK("https://creighton-primo.hosted.exlibrisgroup.com/primo-explore/search?tab=default_tab&amp;search_scope=EVERYTHING&amp;vid=01CRU&amp;lang=en_US&amp;offset=0&amp;query=any,contains,991002327919702656","Catalog Record")</f>
        <v/>
      </c>
      <c r="AT115">
        <f>HYPERLINK("http://www.worldcat.org/oclc/321360","WorldCat Record")</f>
        <v/>
      </c>
      <c r="AU115" t="inlineStr">
        <is>
          <t>3372814920:eng</t>
        </is>
      </c>
      <c r="AV115" t="inlineStr">
        <is>
          <t>321360</t>
        </is>
      </c>
      <c r="AW115" t="inlineStr">
        <is>
          <t>991002327919702656</t>
        </is>
      </c>
      <c r="AX115" t="inlineStr">
        <is>
          <t>991002327919702656</t>
        </is>
      </c>
      <c r="AY115" t="inlineStr">
        <is>
          <t>2255955820002656</t>
        </is>
      </c>
      <c r="AZ115" t="inlineStr">
        <is>
          <t>BOOK</t>
        </is>
      </c>
      <c r="BC115" t="inlineStr">
        <is>
          <t>32285003239091</t>
        </is>
      </c>
      <c r="BD115" t="inlineStr">
        <is>
          <t>893251090</t>
        </is>
      </c>
    </row>
    <row r="116">
      <c r="A116" t="inlineStr">
        <is>
          <t>No</t>
        </is>
      </c>
      <c r="B116" t="inlineStr">
        <is>
          <t>PG3233 .O4 1969</t>
        </is>
      </c>
      <c r="C116" t="inlineStr">
        <is>
          <t>0                      PG 3233000O  4           1969</t>
        </is>
      </c>
      <c r="D116" t="inlineStr">
        <is>
          <t>Fifty Soviet poets / compiled by Vladimir Ognev and Dorian Rottenberg.</t>
        </is>
      </c>
      <c r="F116" t="inlineStr">
        <is>
          <t>No</t>
        </is>
      </c>
      <c r="G116" t="inlineStr">
        <is>
          <t>1</t>
        </is>
      </c>
      <c r="H116" t="inlineStr">
        <is>
          <t>No</t>
        </is>
      </c>
      <c r="I116" t="inlineStr">
        <is>
          <t>No</t>
        </is>
      </c>
      <c r="J116" t="inlineStr">
        <is>
          <t>0</t>
        </is>
      </c>
      <c r="K116" t="inlineStr">
        <is>
          <t>Ognev, Vladimir.</t>
        </is>
      </c>
      <c r="L116" t="inlineStr">
        <is>
          <t>Moscow : Progress Publishers, 1969, 1974 printing.</t>
        </is>
      </c>
      <c r="M116" t="inlineStr">
        <is>
          <t>1969</t>
        </is>
      </c>
      <c r="O116" t="inlineStr">
        <is>
          <t>eng</t>
        </is>
      </c>
      <c r="P116" t="inlineStr">
        <is>
          <t>rur</t>
        </is>
      </c>
      <c r="R116" t="inlineStr">
        <is>
          <t xml:space="preserve">PG </t>
        </is>
      </c>
      <c r="S116" t="n">
        <v>2</v>
      </c>
      <c r="T116" t="n">
        <v>2</v>
      </c>
      <c r="U116" t="inlineStr">
        <is>
          <t>1998-08-31</t>
        </is>
      </c>
      <c r="V116" t="inlineStr">
        <is>
          <t>1998-08-31</t>
        </is>
      </c>
      <c r="W116" t="inlineStr">
        <is>
          <t>1993-04-28</t>
        </is>
      </c>
      <c r="X116" t="inlineStr">
        <is>
          <t>1993-04-28</t>
        </is>
      </c>
      <c r="Y116" t="n">
        <v>94</v>
      </c>
      <c r="Z116" t="n">
        <v>76</v>
      </c>
      <c r="AA116" t="n">
        <v>198</v>
      </c>
      <c r="AB116" t="n">
        <v>1</v>
      </c>
      <c r="AC116" t="n">
        <v>1</v>
      </c>
      <c r="AD116" t="n">
        <v>4</v>
      </c>
      <c r="AE116" t="n">
        <v>8</v>
      </c>
      <c r="AF116" t="n">
        <v>1</v>
      </c>
      <c r="AG116" t="n">
        <v>2</v>
      </c>
      <c r="AH116" t="n">
        <v>1</v>
      </c>
      <c r="AI116" t="n">
        <v>4</v>
      </c>
      <c r="AJ116" t="n">
        <v>4</v>
      </c>
      <c r="AK116" t="n">
        <v>5</v>
      </c>
      <c r="AL116" t="n">
        <v>0</v>
      </c>
      <c r="AM116" t="n">
        <v>0</v>
      </c>
      <c r="AN116" t="n">
        <v>0</v>
      </c>
      <c r="AO116" t="n">
        <v>0</v>
      </c>
      <c r="AP116" t="inlineStr">
        <is>
          <t>No</t>
        </is>
      </c>
      <c r="AQ116" t="inlineStr">
        <is>
          <t>Yes</t>
        </is>
      </c>
      <c r="AR116">
        <f>HYPERLINK("http://catalog.hathitrust.org/Record/102089378","HathiTrust Record")</f>
        <v/>
      </c>
      <c r="AS116">
        <f>HYPERLINK("https://creighton-primo.hosted.exlibrisgroup.com/primo-explore/search?tab=default_tab&amp;search_scope=EVERYTHING&amp;vid=01CRU&amp;lang=en_US&amp;offset=0&amp;query=any,contains,991004018699702656","Catalog Record")</f>
        <v/>
      </c>
      <c r="AT116">
        <f>HYPERLINK("http://www.worldcat.org/oclc/2118753","WorldCat Record")</f>
        <v/>
      </c>
      <c r="AU116" t="inlineStr">
        <is>
          <t>356316427:eng</t>
        </is>
      </c>
      <c r="AV116" t="inlineStr">
        <is>
          <t>2118753</t>
        </is>
      </c>
      <c r="AW116" t="inlineStr">
        <is>
          <t>991004018699702656</t>
        </is>
      </c>
      <c r="AX116" t="inlineStr">
        <is>
          <t>991004018699702656</t>
        </is>
      </c>
      <c r="AY116" t="inlineStr">
        <is>
          <t>2265354640002656</t>
        </is>
      </c>
      <c r="AZ116" t="inlineStr">
        <is>
          <t>BOOK</t>
        </is>
      </c>
      <c r="BC116" t="inlineStr">
        <is>
          <t>32285001648962</t>
        </is>
      </c>
      <c r="BD116" t="inlineStr">
        <is>
          <t>893259216</t>
        </is>
      </c>
    </row>
    <row r="117">
      <c r="A117" t="inlineStr">
        <is>
          <t>No</t>
        </is>
      </c>
      <c r="B117" t="inlineStr">
        <is>
          <t>PG3237.E5 M28</t>
        </is>
      </c>
      <c r="C117" t="inlineStr">
        <is>
          <t>0                      PG 3237000E  5                  M  28</t>
        </is>
      </c>
      <c r="D117" t="inlineStr">
        <is>
          <t>Modern Russian Poetry: an anthology with verse translations, edited and with an introd. by Vladimir Markov and Merrill Sparks.</t>
        </is>
      </c>
      <c r="F117" t="inlineStr">
        <is>
          <t>No</t>
        </is>
      </c>
      <c r="G117" t="inlineStr">
        <is>
          <t>1</t>
        </is>
      </c>
      <c r="H117" t="inlineStr">
        <is>
          <t>No</t>
        </is>
      </c>
      <c r="I117" t="inlineStr">
        <is>
          <t>No</t>
        </is>
      </c>
      <c r="J117" t="inlineStr">
        <is>
          <t>0</t>
        </is>
      </c>
      <c r="K117" t="inlineStr">
        <is>
          <t>Markov, Vladimir compiler.</t>
        </is>
      </c>
      <c r="L117" t="inlineStr">
        <is>
          <t>Indianapolis, Bobbs-Merrill [1967]</t>
        </is>
      </c>
      <c r="M117" t="inlineStr">
        <is>
          <t>1967</t>
        </is>
      </c>
      <c r="N117" t="inlineStr">
        <is>
          <t>[1st American ed.]</t>
        </is>
      </c>
      <c r="O117" t="inlineStr">
        <is>
          <t>eng</t>
        </is>
      </c>
      <c r="P117" t="inlineStr">
        <is>
          <t>inu</t>
        </is>
      </c>
      <c r="R117" t="inlineStr">
        <is>
          <t xml:space="preserve">PG </t>
        </is>
      </c>
      <c r="S117" t="n">
        <v>2</v>
      </c>
      <c r="T117" t="n">
        <v>2</v>
      </c>
      <c r="U117" t="inlineStr">
        <is>
          <t>1999-03-16</t>
        </is>
      </c>
      <c r="V117" t="inlineStr">
        <is>
          <t>1999-03-16</t>
        </is>
      </c>
      <c r="W117" t="inlineStr">
        <is>
          <t>1997-10-02</t>
        </is>
      </c>
      <c r="X117" t="inlineStr">
        <is>
          <t>1997-10-02</t>
        </is>
      </c>
      <c r="Y117" t="n">
        <v>893</v>
      </c>
      <c r="Z117" t="n">
        <v>855</v>
      </c>
      <c r="AA117" t="n">
        <v>942</v>
      </c>
      <c r="AB117" t="n">
        <v>7</v>
      </c>
      <c r="AC117" t="n">
        <v>8</v>
      </c>
      <c r="AD117" t="n">
        <v>30</v>
      </c>
      <c r="AE117" t="n">
        <v>36</v>
      </c>
      <c r="AF117" t="n">
        <v>11</v>
      </c>
      <c r="AG117" t="n">
        <v>13</v>
      </c>
      <c r="AH117" t="n">
        <v>7</v>
      </c>
      <c r="AI117" t="n">
        <v>7</v>
      </c>
      <c r="AJ117" t="n">
        <v>11</v>
      </c>
      <c r="AK117" t="n">
        <v>15</v>
      </c>
      <c r="AL117" t="n">
        <v>6</v>
      </c>
      <c r="AM117" t="n">
        <v>7</v>
      </c>
      <c r="AN117" t="n">
        <v>0</v>
      </c>
      <c r="AO117" t="n">
        <v>0</v>
      </c>
      <c r="AP117" t="inlineStr">
        <is>
          <t>No</t>
        </is>
      </c>
      <c r="AQ117" t="inlineStr">
        <is>
          <t>Yes</t>
        </is>
      </c>
      <c r="AR117">
        <f>HYPERLINK("http://catalog.hathitrust.org/Record/001110396","HathiTrust Record")</f>
        <v/>
      </c>
      <c r="AS117">
        <f>HYPERLINK("https://creighton-primo.hosted.exlibrisgroup.com/primo-explore/search?tab=default_tab&amp;search_scope=EVERYTHING&amp;vid=01CRU&amp;lang=en_US&amp;offset=0&amp;query=any,contains,991003104139702656","Catalog Record")</f>
        <v/>
      </c>
      <c r="AT117">
        <f>HYPERLINK("http://www.worldcat.org/oclc/653003","WorldCat Record")</f>
        <v/>
      </c>
      <c r="AU117" t="inlineStr">
        <is>
          <t>346992571:eng</t>
        </is>
      </c>
      <c r="AV117" t="inlineStr">
        <is>
          <t>653003</t>
        </is>
      </c>
      <c r="AW117" t="inlineStr">
        <is>
          <t>991003104139702656</t>
        </is>
      </c>
      <c r="AX117" t="inlineStr">
        <is>
          <t>991003104139702656</t>
        </is>
      </c>
      <c r="AY117" t="inlineStr">
        <is>
          <t>2263925080002656</t>
        </is>
      </c>
      <c r="AZ117" t="inlineStr">
        <is>
          <t>BOOK</t>
        </is>
      </c>
      <c r="BC117" t="inlineStr">
        <is>
          <t>32285003239141</t>
        </is>
      </c>
      <c r="BD117" t="inlineStr">
        <is>
          <t>893904247</t>
        </is>
      </c>
    </row>
    <row r="118">
      <c r="A118" t="inlineStr">
        <is>
          <t>No</t>
        </is>
      </c>
      <c r="B118" t="inlineStr">
        <is>
          <t>PG3237.E5 R4</t>
        </is>
      </c>
      <c r="C118" t="inlineStr">
        <is>
          <t>0                      PG 3237000E  5                  R  4</t>
        </is>
      </c>
      <c r="D118" t="inlineStr">
        <is>
          <t>The new Russian poets, 1953-1966 : an anthology.</t>
        </is>
      </c>
      <c r="F118" t="inlineStr">
        <is>
          <t>No</t>
        </is>
      </c>
      <c r="G118" t="inlineStr">
        <is>
          <t>1</t>
        </is>
      </c>
      <c r="H118" t="inlineStr">
        <is>
          <t>No</t>
        </is>
      </c>
      <c r="I118" t="inlineStr">
        <is>
          <t>No</t>
        </is>
      </c>
      <c r="J118" t="inlineStr">
        <is>
          <t>0</t>
        </is>
      </c>
      <c r="K118" t="inlineStr">
        <is>
          <t>Reavey, George, 1907-1976 editor.</t>
        </is>
      </c>
      <c r="L118" t="inlineStr">
        <is>
          <t>New York : October House, [1966]</t>
        </is>
      </c>
      <c r="M118" t="inlineStr">
        <is>
          <t>1966</t>
        </is>
      </c>
      <c r="N118" t="inlineStr">
        <is>
          <t>[1st ed.]</t>
        </is>
      </c>
      <c r="O118" t="inlineStr">
        <is>
          <t>eng</t>
        </is>
      </c>
      <c r="P118" t="inlineStr">
        <is>
          <t>nyu</t>
        </is>
      </c>
      <c r="R118" t="inlineStr">
        <is>
          <t xml:space="preserve">PG </t>
        </is>
      </c>
      <c r="S118" t="n">
        <v>2</v>
      </c>
      <c r="T118" t="n">
        <v>2</v>
      </c>
      <c r="U118" t="inlineStr">
        <is>
          <t>2003-04-14</t>
        </is>
      </c>
      <c r="V118" t="inlineStr">
        <is>
          <t>2003-04-14</t>
        </is>
      </c>
      <c r="W118" t="inlineStr">
        <is>
          <t>1991-10-04</t>
        </is>
      </c>
      <c r="X118" t="inlineStr">
        <is>
          <t>1991-10-04</t>
        </is>
      </c>
      <c r="Y118" t="n">
        <v>735</v>
      </c>
      <c r="Z118" t="n">
        <v>684</v>
      </c>
      <c r="AA118" t="n">
        <v>695</v>
      </c>
      <c r="AB118" t="n">
        <v>5</v>
      </c>
      <c r="AC118" t="n">
        <v>5</v>
      </c>
      <c r="AD118" t="n">
        <v>26</v>
      </c>
      <c r="AE118" t="n">
        <v>26</v>
      </c>
      <c r="AF118" t="n">
        <v>9</v>
      </c>
      <c r="AG118" t="n">
        <v>9</v>
      </c>
      <c r="AH118" t="n">
        <v>4</v>
      </c>
      <c r="AI118" t="n">
        <v>4</v>
      </c>
      <c r="AJ118" t="n">
        <v>13</v>
      </c>
      <c r="AK118" t="n">
        <v>13</v>
      </c>
      <c r="AL118" t="n">
        <v>4</v>
      </c>
      <c r="AM118" t="n">
        <v>4</v>
      </c>
      <c r="AN118" t="n">
        <v>0</v>
      </c>
      <c r="AO118" t="n">
        <v>0</v>
      </c>
      <c r="AP118" t="inlineStr">
        <is>
          <t>No</t>
        </is>
      </c>
      <c r="AQ118" t="inlineStr">
        <is>
          <t>Yes</t>
        </is>
      </c>
      <c r="AR118">
        <f>HYPERLINK("http://catalog.hathitrust.org/Record/001110393","HathiTrust Record")</f>
        <v/>
      </c>
      <c r="AS118">
        <f>HYPERLINK("https://creighton-primo.hosted.exlibrisgroup.com/primo-explore/search?tab=default_tab&amp;search_scope=EVERYTHING&amp;vid=01CRU&amp;lang=en_US&amp;offset=0&amp;query=any,contains,991002710659702656","Catalog Record")</f>
        <v/>
      </c>
      <c r="AT118">
        <f>HYPERLINK("http://www.worldcat.org/oclc/409122","WorldCat Record")</f>
        <v/>
      </c>
      <c r="AU118" t="inlineStr">
        <is>
          <t>9020923814:eng</t>
        </is>
      </c>
      <c r="AV118" t="inlineStr">
        <is>
          <t>409122</t>
        </is>
      </c>
      <c r="AW118" t="inlineStr">
        <is>
          <t>991002710659702656</t>
        </is>
      </c>
      <c r="AX118" t="inlineStr">
        <is>
          <t>991002710659702656</t>
        </is>
      </c>
      <c r="AY118" t="inlineStr">
        <is>
          <t>2262133250002656</t>
        </is>
      </c>
      <c r="AZ118" t="inlineStr">
        <is>
          <t>BOOK</t>
        </is>
      </c>
      <c r="BC118" t="inlineStr">
        <is>
          <t>32285000759976</t>
        </is>
      </c>
      <c r="BD118" t="inlineStr">
        <is>
          <t>893603906</t>
        </is>
      </c>
    </row>
    <row r="119">
      <c r="A119" t="inlineStr">
        <is>
          <t>No</t>
        </is>
      </c>
      <c r="B119" t="inlineStr">
        <is>
          <t>PG3237.E5 T85 1993</t>
        </is>
      </c>
      <c r="C119" t="inlineStr">
        <is>
          <t>0                      PG 3237000E  5                  T  85          1993</t>
        </is>
      </c>
      <c r="D119" t="inlineStr">
        <is>
          <t>Twentieth century Russian poetry : silver and steel : an anthology / selected, with an introduction, by Yevgeny Yevtushenko ; edited by Albert C. Todd and Max Hayward, with Daniel Weissbort.</t>
        </is>
      </c>
      <c r="F119" t="inlineStr">
        <is>
          <t>No</t>
        </is>
      </c>
      <c r="G119" t="inlineStr">
        <is>
          <t>1</t>
        </is>
      </c>
      <c r="H119" t="inlineStr">
        <is>
          <t>No</t>
        </is>
      </c>
      <c r="I119" t="inlineStr">
        <is>
          <t>No</t>
        </is>
      </c>
      <c r="J119" t="inlineStr">
        <is>
          <t>0</t>
        </is>
      </c>
      <c r="L119" t="inlineStr">
        <is>
          <t>New York : Doubleday, c1993.</t>
        </is>
      </c>
      <c r="M119" t="inlineStr">
        <is>
          <t>1993</t>
        </is>
      </c>
      <c r="N119" t="inlineStr">
        <is>
          <t>1st ed.</t>
        </is>
      </c>
      <c r="O119" t="inlineStr">
        <is>
          <t>eng</t>
        </is>
      </c>
      <c r="P119" t="inlineStr">
        <is>
          <t>nyu</t>
        </is>
      </c>
      <c r="R119" t="inlineStr">
        <is>
          <t xml:space="preserve">PG </t>
        </is>
      </c>
      <c r="S119" t="n">
        <v>7</v>
      </c>
      <c r="T119" t="n">
        <v>7</v>
      </c>
      <c r="U119" t="inlineStr">
        <is>
          <t>2007-01-17</t>
        </is>
      </c>
      <c r="V119" t="inlineStr">
        <is>
          <t>2007-01-17</t>
        </is>
      </c>
      <c r="W119" t="inlineStr">
        <is>
          <t>1994-02-01</t>
        </is>
      </c>
      <c r="X119" t="inlineStr">
        <is>
          <t>1994-02-01</t>
        </is>
      </c>
      <c r="Y119" t="n">
        <v>713</v>
      </c>
      <c r="Z119" t="n">
        <v>666</v>
      </c>
      <c r="AA119" t="n">
        <v>810</v>
      </c>
      <c r="AB119" t="n">
        <v>6</v>
      </c>
      <c r="AC119" t="n">
        <v>6</v>
      </c>
      <c r="AD119" t="n">
        <v>25</v>
      </c>
      <c r="AE119" t="n">
        <v>30</v>
      </c>
      <c r="AF119" t="n">
        <v>7</v>
      </c>
      <c r="AG119" t="n">
        <v>10</v>
      </c>
      <c r="AH119" t="n">
        <v>8</v>
      </c>
      <c r="AI119" t="n">
        <v>8</v>
      </c>
      <c r="AJ119" t="n">
        <v>12</v>
      </c>
      <c r="AK119" t="n">
        <v>15</v>
      </c>
      <c r="AL119" t="n">
        <v>3</v>
      </c>
      <c r="AM119" t="n">
        <v>3</v>
      </c>
      <c r="AN119" t="n">
        <v>0</v>
      </c>
      <c r="AO119" t="n">
        <v>0</v>
      </c>
      <c r="AP119" t="inlineStr">
        <is>
          <t>No</t>
        </is>
      </c>
      <c r="AQ119" t="inlineStr">
        <is>
          <t>No</t>
        </is>
      </c>
      <c r="AS119">
        <f>HYPERLINK("https://creighton-primo.hosted.exlibrisgroup.com/primo-explore/search?tab=default_tab&amp;search_scope=EVERYTHING&amp;vid=01CRU&amp;lang=en_US&amp;offset=0&amp;query=any,contains,991002093739702656","Catalog Record")</f>
        <v/>
      </c>
      <c r="AT119">
        <f>HYPERLINK("http://www.worldcat.org/oclc/26854016","WorldCat Record")</f>
        <v/>
      </c>
      <c r="AU119" t="inlineStr">
        <is>
          <t>388858791:eng</t>
        </is>
      </c>
      <c r="AV119" t="inlineStr">
        <is>
          <t>26854016</t>
        </is>
      </c>
      <c r="AW119" t="inlineStr">
        <is>
          <t>991002093739702656</t>
        </is>
      </c>
      <c r="AX119" t="inlineStr">
        <is>
          <t>991002093739702656</t>
        </is>
      </c>
      <c r="AY119" t="inlineStr">
        <is>
          <t>2268048980002656</t>
        </is>
      </c>
      <c r="AZ119" t="inlineStr">
        <is>
          <t>BOOK</t>
        </is>
      </c>
      <c r="BB119" t="inlineStr">
        <is>
          <t>9780385051293</t>
        </is>
      </c>
      <c r="BC119" t="inlineStr">
        <is>
          <t>32285001834596</t>
        </is>
      </c>
      <c r="BD119" t="inlineStr">
        <is>
          <t>893609457</t>
        </is>
      </c>
    </row>
    <row r="120">
      <c r="A120" t="inlineStr">
        <is>
          <t>No</t>
        </is>
      </c>
      <c r="B120" t="inlineStr">
        <is>
          <t>PG3286 .P7 1969</t>
        </is>
      </c>
      <c r="C120" t="inlineStr">
        <is>
          <t>0                      PG 3286000P  7           1969</t>
        </is>
      </c>
      <c r="D120" t="inlineStr">
        <is>
          <t>From Karamzin to Bunin : an anthology of Russian short stories / edited, with a critical commentary and eleven new translations, by Carl R. Proffer.</t>
        </is>
      </c>
      <c r="F120" t="inlineStr">
        <is>
          <t>No</t>
        </is>
      </c>
      <c r="G120" t="inlineStr">
        <is>
          <t>1</t>
        </is>
      </c>
      <c r="H120" t="inlineStr">
        <is>
          <t>No</t>
        </is>
      </c>
      <c r="I120" t="inlineStr">
        <is>
          <t>No</t>
        </is>
      </c>
      <c r="J120" t="inlineStr">
        <is>
          <t>0</t>
        </is>
      </c>
      <c r="K120" t="inlineStr">
        <is>
          <t>Proffer, Carl R., compiler.</t>
        </is>
      </c>
      <c r="L120" t="inlineStr">
        <is>
          <t>Bloomington : Indiana University Press, 1969.</t>
        </is>
      </c>
      <c r="M120" t="inlineStr">
        <is>
          <t>1969</t>
        </is>
      </c>
      <c r="O120" t="inlineStr">
        <is>
          <t>eng</t>
        </is>
      </c>
      <c r="P120" t="inlineStr">
        <is>
          <t>inu</t>
        </is>
      </c>
      <c r="R120" t="inlineStr">
        <is>
          <t xml:space="preserve">PG </t>
        </is>
      </c>
      <c r="S120" t="n">
        <v>1</v>
      </c>
      <c r="T120" t="n">
        <v>1</v>
      </c>
      <c r="U120" t="inlineStr">
        <is>
          <t>2006-11-18</t>
        </is>
      </c>
      <c r="V120" t="inlineStr">
        <is>
          <t>2006-11-18</t>
        </is>
      </c>
      <c r="W120" t="inlineStr">
        <is>
          <t>1993-04-28</t>
        </is>
      </c>
      <c r="X120" t="inlineStr">
        <is>
          <t>1993-04-28</t>
        </is>
      </c>
      <c r="Y120" t="n">
        <v>690</v>
      </c>
      <c r="Z120" t="n">
        <v>616</v>
      </c>
      <c r="AA120" t="n">
        <v>623</v>
      </c>
      <c r="AB120" t="n">
        <v>3</v>
      </c>
      <c r="AC120" t="n">
        <v>3</v>
      </c>
      <c r="AD120" t="n">
        <v>18</v>
      </c>
      <c r="AE120" t="n">
        <v>18</v>
      </c>
      <c r="AF120" t="n">
        <v>5</v>
      </c>
      <c r="AG120" t="n">
        <v>5</v>
      </c>
      <c r="AH120" t="n">
        <v>3</v>
      </c>
      <c r="AI120" t="n">
        <v>3</v>
      </c>
      <c r="AJ120" t="n">
        <v>10</v>
      </c>
      <c r="AK120" t="n">
        <v>10</v>
      </c>
      <c r="AL120" t="n">
        <v>2</v>
      </c>
      <c r="AM120" t="n">
        <v>2</v>
      </c>
      <c r="AN120" t="n">
        <v>0</v>
      </c>
      <c r="AO120" t="n">
        <v>0</v>
      </c>
      <c r="AP120" t="inlineStr">
        <is>
          <t>No</t>
        </is>
      </c>
      <c r="AQ120" t="inlineStr">
        <is>
          <t>Yes</t>
        </is>
      </c>
      <c r="AR120">
        <f>HYPERLINK("http://catalog.hathitrust.org/Record/000980779","HathiTrust Record")</f>
        <v/>
      </c>
      <c r="AS120">
        <f>HYPERLINK("https://creighton-primo.hosted.exlibrisgroup.com/primo-explore/search?tab=default_tab&amp;search_scope=EVERYTHING&amp;vid=01CRU&amp;lang=en_US&amp;offset=0&amp;query=any,contains,991000115459702656","Catalog Record")</f>
        <v/>
      </c>
      <c r="AT120">
        <f>HYPERLINK("http://www.worldcat.org/oclc/49146","WorldCat Record")</f>
        <v/>
      </c>
      <c r="AU120" t="inlineStr">
        <is>
          <t>198422170:eng</t>
        </is>
      </c>
      <c r="AV120" t="inlineStr">
        <is>
          <t>49146</t>
        </is>
      </c>
      <c r="AW120" t="inlineStr">
        <is>
          <t>991000115459702656</t>
        </is>
      </c>
      <c r="AX120" t="inlineStr">
        <is>
          <t>991000115459702656</t>
        </is>
      </c>
      <c r="AY120" t="inlineStr">
        <is>
          <t>2263605900002656</t>
        </is>
      </c>
      <c r="AZ120" t="inlineStr">
        <is>
          <t>BOOK</t>
        </is>
      </c>
      <c r="BB120" t="inlineStr">
        <is>
          <t>9780253325051</t>
        </is>
      </c>
      <c r="BC120" t="inlineStr">
        <is>
          <t>32285001648988</t>
        </is>
      </c>
      <c r="BD120" t="inlineStr">
        <is>
          <t>893438019</t>
        </is>
      </c>
    </row>
    <row r="121">
      <c r="A121" t="inlineStr">
        <is>
          <t>No</t>
        </is>
      </c>
      <c r="B121" t="inlineStr">
        <is>
          <t>PG3286 .R9 1990</t>
        </is>
      </c>
      <c r="C121" t="inlineStr">
        <is>
          <t>0                      PG 3286000R  9           1990</t>
        </is>
      </c>
      <c r="D121" t="inlineStr">
        <is>
          <t>Russian stories = Russkie rasskazy / edited by Gleb Struve.</t>
        </is>
      </c>
      <c r="F121" t="inlineStr">
        <is>
          <t>No</t>
        </is>
      </c>
      <c r="G121" t="inlineStr">
        <is>
          <t>1</t>
        </is>
      </c>
      <c r="H121" t="inlineStr">
        <is>
          <t>No</t>
        </is>
      </c>
      <c r="I121" t="inlineStr">
        <is>
          <t>No</t>
        </is>
      </c>
      <c r="J121" t="inlineStr">
        <is>
          <t>0</t>
        </is>
      </c>
      <c r="L121" t="inlineStr">
        <is>
          <t>New York : Dover Publications, 1990, c1989.</t>
        </is>
      </c>
      <c r="M121" t="inlineStr">
        <is>
          <t>1990</t>
        </is>
      </c>
      <c r="O121" t="inlineStr">
        <is>
          <t>eng</t>
        </is>
      </c>
      <c r="P121" t="inlineStr">
        <is>
          <t>nyu</t>
        </is>
      </c>
      <c r="Q121" t="inlineStr">
        <is>
          <t>A Dual-language book</t>
        </is>
      </c>
      <c r="R121" t="inlineStr">
        <is>
          <t xml:space="preserve">PG </t>
        </is>
      </c>
      <c r="S121" t="n">
        <v>1</v>
      </c>
      <c r="T121" t="n">
        <v>1</v>
      </c>
      <c r="U121" t="inlineStr">
        <is>
          <t>2008-04-21</t>
        </is>
      </c>
      <c r="V121" t="inlineStr">
        <is>
          <t>2008-04-21</t>
        </is>
      </c>
      <c r="W121" t="inlineStr">
        <is>
          <t>2008-04-21</t>
        </is>
      </c>
      <c r="X121" t="inlineStr">
        <is>
          <t>2008-04-21</t>
        </is>
      </c>
      <c r="Y121" t="n">
        <v>409</v>
      </c>
      <c r="Z121" t="n">
        <v>366</v>
      </c>
      <c r="AA121" t="n">
        <v>475</v>
      </c>
      <c r="AB121" t="n">
        <v>1</v>
      </c>
      <c r="AC121" t="n">
        <v>2</v>
      </c>
      <c r="AD121" t="n">
        <v>3</v>
      </c>
      <c r="AE121" t="n">
        <v>5</v>
      </c>
      <c r="AF121" t="n">
        <v>2</v>
      </c>
      <c r="AG121" t="n">
        <v>3</v>
      </c>
      <c r="AH121" t="n">
        <v>1</v>
      </c>
      <c r="AI121" t="n">
        <v>2</v>
      </c>
      <c r="AJ121" t="n">
        <v>1</v>
      </c>
      <c r="AK121" t="n">
        <v>1</v>
      </c>
      <c r="AL121" t="n">
        <v>0</v>
      </c>
      <c r="AM121" t="n">
        <v>0</v>
      </c>
      <c r="AN121" t="n">
        <v>0</v>
      </c>
      <c r="AO121" t="n">
        <v>0</v>
      </c>
      <c r="AP121" t="inlineStr">
        <is>
          <t>No</t>
        </is>
      </c>
      <c r="AQ121" t="inlineStr">
        <is>
          <t>Yes</t>
        </is>
      </c>
      <c r="AR121">
        <f>HYPERLINK("http://catalog.hathitrust.org/Record/007015638","HathiTrust Record")</f>
        <v/>
      </c>
      <c r="AS121">
        <f>HYPERLINK("https://creighton-primo.hosted.exlibrisgroup.com/primo-explore/search?tab=default_tab&amp;search_scope=EVERYTHING&amp;vid=01CRU&amp;lang=en_US&amp;offset=0&amp;query=any,contains,991005205039702656","Catalog Record")</f>
        <v/>
      </c>
      <c r="AT121">
        <f>HYPERLINK("http://www.worldcat.org/oclc/20596014","WorldCat Record")</f>
        <v/>
      </c>
      <c r="AU121" t="inlineStr">
        <is>
          <t>104108471:eng</t>
        </is>
      </c>
      <c r="AV121" t="inlineStr">
        <is>
          <t>20596014</t>
        </is>
      </c>
      <c r="AW121" t="inlineStr">
        <is>
          <t>991005205039702656</t>
        </is>
      </c>
      <c r="AX121" t="inlineStr">
        <is>
          <t>991005205039702656</t>
        </is>
      </c>
      <c r="AY121" t="inlineStr">
        <is>
          <t>2268882190002656</t>
        </is>
      </c>
      <c r="AZ121" t="inlineStr">
        <is>
          <t>BOOK</t>
        </is>
      </c>
      <c r="BB121" t="inlineStr">
        <is>
          <t>9780486262444</t>
        </is>
      </c>
      <c r="BC121" t="inlineStr">
        <is>
          <t>32285005403950</t>
        </is>
      </c>
      <c r="BD121" t="inlineStr">
        <is>
          <t>893320239</t>
        </is>
      </c>
    </row>
    <row r="122">
      <c r="A122" t="inlineStr">
        <is>
          <t>No</t>
        </is>
      </c>
      <c r="B122" t="inlineStr">
        <is>
          <t>PG3286 .S47 1917</t>
        </is>
      </c>
      <c r="C122" t="inlineStr">
        <is>
          <t>0                      PG 3286000S  47          1917</t>
        </is>
      </c>
      <c r="D122" t="inlineStr">
        <is>
          <t>Best Russian short stories.</t>
        </is>
      </c>
      <c r="F122" t="inlineStr">
        <is>
          <t>No</t>
        </is>
      </c>
      <c r="G122" t="inlineStr">
        <is>
          <t>1</t>
        </is>
      </c>
      <c r="H122" t="inlineStr">
        <is>
          <t>No</t>
        </is>
      </c>
      <c r="I122" t="inlineStr">
        <is>
          <t>No</t>
        </is>
      </c>
      <c r="J122" t="inlineStr">
        <is>
          <t>0</t>
        </is>
      </c>
      <c r="K122" t="inlineStr">
        <is>
          <t>Seltzer, Thomas editor.</t>
        </is>
      </c>
      <c r="L122" t="inlineStr">
        <is>
          <t>New York : Boni and Liveright c1917, 1918 printing.</t>
        </is>
      </c>
      <c r="M122" t="inlineStr">
        <is>
          <t>1917</t>
        </is>
      </c>
      <c r="O122" t="inlineStr">
        <is>
          <t>eng</t>
        </is>
      </c>
      <c r="P122" t="inlineStr">
        <is>
          <t>___</t>
        </is>
      </c>
      <c r="R122" t="inlineStr">
        <is>
          <t xml:space="preserve">PG </t>
        </is>
      </c>
      <c r="S122" t="n">
        <v>11</v>
      </c>
      <c r="T122" t="n">
        <v>11</v>
      </c>
      <c r="U122" t="inlineStr">
        <is>
          <t>2007-06-24</t>
        </is>
      </c>
      <c r="V122" t="inlineStr">
        <is>
          <t>2007-06-24</t>
        </is>
      </c>
      <c r="W122" t="inlineStr">
        <is>
          <t>1993-04-28</t>
        </is>
      </c>
      <c r="X122" t="inlineStr">
        <is>
          <t>1993-04-28</t>
        </is>
      </c>
      <c r="Y122" t="n">
        <v>282</v>
      </c>
      <c r="Z122" t="n">
        <v>267</v>
      </c>
      <c r="AA122" t="n">
        <v>1239</v>
      </c>
      <c r="AB122" t="n">
        <v>3</v>
      </c>
      <c r="AC122" t="n">
        <v>6</v>
      </c>
      <c r="AD122" t="n">
        <v>7</v>
      </c>
      <c r="AE122" t="n">
        <v>32</v>
      </c>
      <c r="AF122" t="n">
        <v>1</v>
      </c>
      <c r="AG122" t="n">
        <v>12</v>
      </c>
      <c r="AH122" t="n">
        <v>4</v>
      </c>
      <c r="AI122" t="n">
        <v>8</v>
      </c>
      <c r="AJ122" t="n">
        <v>2</v>
      </c>
      <c r="AK122" t="n">
        <v>15</v>
      </c>
      <c r="AL122" t="n">
        <v>1</v>
      </c>
      <c r="AM122" t="n">
        <v>4</v>
      </c>
      <c r="AN122" t="n">
        <v>0</v>
      </c>
      <c r="AO122" t="n">
        <v>1</v>
      </c>
      <c r="AP122" t="inlineStr">
        <is>
          <t>Yes</t>
        </is>
      </c>
      <c r="AQ122" t="inlineStr">
        <is>
          <t>No</t>
        </is>
      </c>
      <c r="AR122">
        <f>HYPERLINK("http://catalog.hathitrust.org/Record/001108473","HathiTrust Record")</f>
        <v/>
      </c>
      <c r="AS122">
        <f>HYPERLINK("https://creighton-primo.hosted.exlibrisgroup.com/primo-explore/search?tab=default_tab&amp;search_scope=EVERYTHING&amp;vid=01CRU&amp;lang=en_US&amp;offset=0&amp;query=any,contains,991002312319702656","Catalog Record")</f>
        <v/>
      </c>
      <c r="AT122">
        <f>HYPERLINK("http://www.worldcat.org/oclc/319712","WorldCat Record")</f>
        <v/>
      </c>
      <c r="AU122" t="inlineStr">
        <is>
          <t>1395926:eng</t>
        </is>
      </c>
      <c r="AV122" t="inlineStr">
        <is>
          <t>319712</t>
        </is>
      </c>
      <c r="AW122" t="inlineStr">
        <is>
          <t>991002312319702656</t>
        </is>
      </c>
      <c r="AX122" t="inlineStr">
        <is>
          <t>991002312319702656</t>
        </is>
      </c>
      <c r="AY122" t="inlineStr">
        <is>
          <t>2268286380002656</t>
        </is>
      </c>
      <c r="AZ122" t="inlineStr">
        <is>
          <t>BOOK</t>
        </is>
      </c>
      <c r="BC122" t="inlineStr">
        <is>
          <t>32285001648996</t>
        </is>
      </c>
      <c r="BD122" t="inlineStr">
        <is>
          <t>893622137</t>
        </is>
      </c>
    </row>
    <row r="123">
      <c r="A123" t="inlineStr">
        <is>
          <t>No</t>
        </is>
      </c>
      <c r="B123" t="inlineStr">
        <is>
          <t>PG3321.A5 Z53513 1982</t>
        </is>
      </c>
      <c r="C123" t="inlineStr">
        <is>
          <t>0                      PG 3321000A  5                  Z  53513       1982</t>
        </is>
      </c>
      <c r="D123" t="inlineStr">
        <is>
          <t>A Russian gentleman / Sergei Aksakov ; translated by J.D. Duff ; with an introduction by Edward Crankshaw.</t>
        </is>
      </c>
      <c r="F123" t="inlineStr">
        <is>
          <t>No</t>
        </is>
      </c>
      <c r="G123" t="inlineStr">
        <is>
          <t>1</t>
        </is>
      </c>
      <c r="H123" t="inlineStr">
        <is>
          <t>No</t>
        </is>
      </c>
      <c r="I123" t="inlineStr">
        <is>
          <t>No</t>
        </is>
      </c>
      <c r="J123" t="inlineStr">
        <is>
          <t>0</t>
        </is>
      </c>
      <c r="K123" t="inlineStr">
        <is>
          <t>Aksakov, S. T. (Sergeĭ Timofeevich), 1791-1859.</t>
        </is>
      </c>
      <c r="L123" t="inlineStr">
        <is>
          <t>Oxford ; New York : Oxford University Press, 1982.</t>
        </is>
      </c>
      <c r="M123" t="inlineStr">
        <is>
          <t>1982</t>
        </is>
      </c>
      <c r="O123" t="inlineStr">
        <is>
          <t>eng</t>
        </is>
      </c>
      <c r="P123" t="inlineStr">
        <is>
          <t>enk</t>
        </is>
      </c>
      <c r="Q123" t="inlineStr">
        <is>
          <t>The World's classics</t>
        </is>
      </c>
      <c r="R123" t="inlineStr">
        <is>
          <t xml:space="preserve">PG </t>
        </is>
      </c>
      <c r="S123" t="n">
        <v>4</v>
      </c>
      <c r="T123" t="n">
        <v>4</v>
      </c>
      <c r="U123" t="inlineStr">
        <is>
          <t>1994-08-31</t>
        </is>
      </c>
      <c r="V123" t="inlineStr">
        <is>
          <t>1994-08-31</t>
        </is>
      </c>
      <c r="W123" t="inlineStr">
        <is>
          <t>1993-01-21</t>
        </is>
      </c>
      <c r="X123" t="inlineStr">
        <is>
          <t>1993-01-21</t>
        </is>
      </c>
      <c r="Y123" t="n">
        <v>171</v>
      </c>
      <c r="Z123" t="n">
        <v>114</v>
      </c>
      <c r="AA123" t="n">
        <v>828</v>
      </c>
      <c r="AB123" t="n">
        <v>1</v>
      </c>
      <c r="AC123" t="n">
        <v>6</v>
      </c>
      <c r="AD123" t="n">
        <v>1</v>
      </c>
      <c r="AE123" t="n">
        <v>38</v>
      </c>
      <c r="AF123" t="n">
        <v>0</v>
      </c>
      <c r="AG123" t="n">
        <v>14</v>
      </c>
      <c r="AH123" t="n">
        <v>1</v>
      </c>
      <c r="AI123" t="n">
        <v>9</v>
      </c>
      <c r="AJ123" t="n">
        <v>0</v>
      </c>
      <c r="AK123" t="n">
        <v>20</v>
      </c>
      <c r="AL123" t="n">
        <v>0</v>
      </c>
      <c r="AM123" t="n">
        <v>5</v>
      </c>
      <c r="AN123" t="n">
        <v>0</v>
      </c>
      <c r="AO123" t="n">
        <v>0</v>
      </c>
      <c r="AP123" t="inlineStr">
        <is>
          <t>No</t>
        </is>
      </c>
      <c r="AQ123" t="inlineStr">
        <is>
          <t>No</t>
        </is>
      </c>
      <c r="AS123">
        <f>HYPERLINK("https://creighton-primo.hosted.exlibrisgroup.com/primo-explore/search?tab=default_tab&amp;search_scope=EVERYTHING&amp;vid=01CRU&amp;lang=en_US&amp;offset=0&amp;query=any,contains,991005193719702656","Catalog Record")</f>
        <v/>
      </c>
      <c r="AT123">
        <f>HYPERLINK("http://www.worldcat.org/oclc/8032673","WorldCat Record")</f>
        <v/>
      </c>
      <c r="AU123" t="inlineStr">
        <is>
          <t>8908493462:eng</t>
        </is>
      </c>
      <c r="AV123" t="inlineStr">
        <is>
          <t>8032673</t>
        </is>
      </c>
      <c r="AW123" t="inlineStr">
        <is>
          <t>991005193719702656</t>
        </is>
      </c>
      <c r="AX123" t="inlineStr">
        <is>
          <t>991005193719702656</t>
        </is>
      </c>
      <c r="AY123" t="inlineStr">
        <is>
          <t>2269086590002656</t>
        </is>
      </c>
      <c r="AZ123" t="inlineStr">
        <is>
          <t>BOOK</t>
        </is>
      </c>
      <c r="BB123" t="inlineStr">
        <is>
          <t>9780192815736</t>
        </is>
      </c>
      <c r="BC123" t="inlineStr">
        <is>
          <t>32285001447563</t>
        </is>
      </c>
      <c r="BD123" t="inlineStr">
        <is>
          <t>893418526</t>
        </is>
      </c>
    </row>
    <row r="124">
      <c r="A124" t="inlineStr">
        <is>
          <t>No</t>
        </is>
      </c>
      <c r="B124" t="inlineStr">
        <is>
          <t>PG3325 .I3 1998</t>
        </is>
      </c>
      <c r="C124" t="inlineStr">
        <is>
          <t>0                      PG 3325000I  3           1998</t>
        </is>
      </c>
      <c r="D124" t="inlineStr">
        <is>
          <t>Dostoevsky's The idiot : a critical companion / edited by Liza Knapp.</t>
        </is>
      </c>
      <c r="F124" t="inlineStr">
        <is>
          <t>No</t>
        </is>
      </c>
      <c r="G124" t="inlineStr">
        <is>
          <t>1</t>
        </is>
      </c>
      <c r="H124" t="inlineStr">
        <is>
          <t>No</t>
        </is>
      </c>
      <c r="I124" t="inlineStr">
        <is>
          <t>No</t>
        </is>
      </c>
      <c r="J124" t="inlineStr">
        <is>
          <t>0</t>
        </is>
      </c>
      <c r="L124" t="inlineStr">
        <is>
          <t>Evanston, Ill. : Northwestern University Press : American Association of Teachers of Slavic and East European Languages, 1998.</t>
        </is>
      </c>
      <c r="M124" t="inlineStr">
        <is>
          <t>1998</t>
        </is>
      </c>
      <c r="O124" t="inlineStr">
        <is>
          <t>eng</t>
        </is>
      </c>
      <c r="P124" t="inlineStr">
        <is>
          <t>ilu</t>
        </is>
      </c>
      <c r="Q124" t="inlineStr">
        <is>
          <t>Northwestern/AATSEEL critical companions to Russian literature</t>
        </is>
      </c>
      <c r="R124" t="inlineStr">
        <is>
          <t xml:space="preserve">PG </t>
        </is>
      </c>
      <c r="S124" t="n">
        <v>12</v>
      </c>
      <c r="T124" t="n">
        <v>12</v>
      </c>
      <c r="U124" t="inlineStr">
        <is>
          <t>2002-04-27</t>
        </is>
      </c>
      <c r="V124" t="inlineStr">
        <is>
          <t>2002-04-27</t>
        </is>
      </c>
      <c r="W124" t="inlineStr">
        <is>
          <t>1998-12-07</t>
        </is>
      </c>
      <c r="X124" t="inlineStr">
        <is>
          <t>1998-12-07</t>
        </is>
      </c>
      <c r="Y124" t="n">
        <v>280</v>
      </c>
      <c r="Z124" t="n">
        <v>231</v>
      </c>
      <c r="AA124" t="n">
        <v>233</v>
      </c>
      <c r="AB124" t="n">
        <v>2</v>
      </c>
      <c r="AC124" t="n">
        <v>2</v>
      </c>
      <c r="AD124" t="n">
        <v>11</v>
      </c>
      <c r="AE124" t="n">
        <v>11</v>
      </c>
      <c r="AF124" t="n">
        <v>3</v>
      </c>
      <c r="AG124" t="n">
        <v>3</v>
      </c>
      <c r="AH124" t="n">
        <v>3</v>
      </c>
      <c r="AI124" t="n">
        <v>3</v>
      </c>
      <c r="AJ124" t="n">
        <v>6</v>
      </c>
      <c r="AK124" t="n">
        <v>6</v>
      </c>
      <c r="AL124" t="n">
        <v>1</v>
      </c>
      <c r="AM124" t="n">
        <v>1</v>
      </c>
      <c r="AN124" t="n">
        <v>0</v>
      </c>
      <c r="AO124" t="n">
        <v>0</v>
      </c>
      <c r="AP124" t="inlineStr">
        <is>
          <t>No</t>
        </is>
      </c>
      <c r="AQ124" t="inlineStr">
        <is>
          <t>Yes</t>
        </is>
      </c>
      <c r="AR124">
        <f>HYPERLINK("http://catalog.hathitrust.org/Record/003996542","HathiTrust Record")</f>
        <v/>
      </c>
      <c r="AS124">
        <f>HYPERLINK("https://creighton-primo.hosted.exlibrisgroup.com/primo-explore/search?tab=default_tab&amp;search_scope=EVERYTHING&amp;vid=01CRU&amp;lang=en_US&amp;offset=0&amp;query=any,contains,991005428699702656","Catalog Record")</f>
        <v/>
      </c>
      <c r="AT124">
        <f>HYPERLINK("http://www.worldcat.org/oclc/39261931","WorldCat Record")</f>
        <v/>
      </c>
      <c r="AU124" t="inlineStr">
        <is>
          <t>836947771:eng</t>
        </is>
      </c>
      <c r="AV124" t="inlineStr">
        <is>
          <t>39261931</t>
        </is>
      </c>
      <c r="AW124" t="inlineStr">
        <is>
          <t>991005428699702656</t>
        </is>
      </c>
      <c r="AX124" t="inlineStr">
        <is>
          <t>991005428699702656</t>
        </is>
      </c>
      <c r="AY124" t="inlineStr">
        <is>
          <t>2265643650002656</t>
        </is>
      </c>
      <c r="AZ124" t="inlineStr">
        <is>
          <t>BOOK</t>
        </is>
      </c>
      <c r="BB124" t="inlineStr">
        <is>
          <t>9780810115330</t>
        </is>
      </c>
      <c r="BC124" t="inlineStr">
        <is>
          <t>32285003493904</t>
        </is>
      </c>
      <c r="BD124" t="inlineStr">
        <is>
          <t>893720426</t>
        </is>
      </c>
    </row>
    <row r="125">
      <c r="A125" t="inlineStr">
        <is>
          <t>No</t>
        </is>
      </c>
      <c r="B125" t="inlineStr">
        <is>
          <t>PG3325 .I3313</t>
        </is>
      </c>
      <c r="C125" t="inlineStr">
        <is>
          <t>0                      PG 3325000I  3313</t>
        </is>
      </c>
      <c r="D125" t="inlineStr">
        <is>
          <t>The notebooks for The idiot [by] Fyodor Dostoevsky. Edited and with an introd. by Edward Wasiolek. Translated by Katharine Strelsky.</t>
        </is>
      </c>
      <c r="F125" t="inlineStr">
        <is>
          <t>No</t>
        </is>
      </c>
      <c r="G125" t="inlineStr">
        <is>
          <t>1</t>
        </is>
      </c>
      <c r="H125" t="inlineStr">
        <is>
          <t>No</t>
        </is>
      </c>
      <c r="I125" t="inlineStr">
        <is>
          <t>No</t>
        </is>
      </c>
      <c r="J125" t="inlineStr">
        <is>
          <t>0</t>
        </is>
      </c>
      <c r="K125" t="inlineStr">
        <is>
          <t>Dostoyevsky, Fyodor, 1821-1881.</t>
        </is>
      </c>
      <c r="L125" t="inlineStr">
        <is>
          <t>Chicago, University of Chicago Press [1967]</t>
        </is>
      </c>
      <c r="M125" t="inlineStr">
        <is>
          <t>1967</t>
        </is>
      </c>
      <c r="O125" t="inlineStr">
        <is>
          <t>eng</t>
        </is>
      </c>
      <c r="P125" t="inlineStr">
        <is>
          <t>ilu</t>
        </is>
      </c>
      <c r="R125" t="inlineStr">
        <is>
          <t xml:space="preserve">PG </t>
        </is>
      </c>
      <c r="S125" t="n">
        <v>3</v>
      </c>
      <c r="T125" t="n">
        <v>3</v>
      </c>
      <c r="U125" t="inlineStr">
        <is>
          <t>2000-08-25</t>
        </is>
      </c>
      <c r="V125" t="inlineStr">
        <is>
          <t>2000-08-25</t>
        </is>
      </c>
      <c r="W125" t="inlineStr">
        <is>
          <t>1997-10-02</t>
        </is>
      </c>
      <c r="X125" t="inlineStr">
        <is>
          <t>1997-10-02</t>
        </is>
      </c>
      <c r="Y125" t="n">
        <v>970</v>
      </c>
      <c r="Z125" t="n">
        <v>860</v>
      </c>
      <c r="AA125" t="n">
        <v>1099</v>
      </c>
      <c r="AB125" t="n">
        <v>7</v>
      </c>
      <c r="AC125" t="n">
        <v>9</v>
      </c>
      <c r="AD125" t="n">
        <v>42</v>
      </c>
      <c r="AE125" t="n">
        <v>50</v>
      </c>
      <c r="AF125" t="n">
        <v>14</v>
      </c>
      <c r="AG125" t="n">
        <v>18</v>
      </c>
      <c r="AH125" t="n">
        <v>10</v>
      </c>
      <c r="AI125" t="n">
        <v>11</v>
      </c>
      <c r="AJ125" t="n">
        <v>23</v>
      </c>
      <c r="AK125" t="n">
        <v>24</v>
      </c>
      <c r="AL125" t="n">
        <v>6</v>
      </c>
      <c r="AM125" t="n">
        <v>8</v>
      </c>
      <c r="AN125" t="n">
        <v>0</v>
      </c>
      <c r="AO125" t="n">
        <v>1</v>
      </c>
      <c r="AP125" t="inlineStr">
        <is>
          <t>No</t>
        </is>
      </c>
      <c r="AQ125" t="inlineStr">
        <is>
          <t>Yes</t>
        </is>
      </c>
      <c r="AR125">
        <f>HYPERLINK("http://catalog.hathitrust.org/Record/000980796","HathiTrust Record")</f>
        <v/>
      </c>
      <c r="AS125">
        <f>HYPERLINK("https://creighton-primo.hosted.exlibrisgroup.com/primo-explore/search?tab=default_tab&amp;search_scope=EVERYTHING&amp;vid=01CRU&amp;lang=en_US&amp;offset=0&amp;query=any,contains,991005369889702656","Catalog Record")</f>
        <v/>
      </c>
      <c r="AT125">
        <f>HYPERLINK("http://www.worldcat.org/oclc/2579818","WorldCat Record")</f>
        <v/>
      </c>
      <c r="AU125" t="inlineStr">
        <is>
          <t>8982076923:eng</t>
        </is>
      </c>
      <c r="AV125" t="inlineStr">
        <is>
          <t>2579818</t>
        </is>
      </c>
      <c r="AW125" t="inlineStr">
        <is>
          <t>991005369889702656</t>
        </is>
      </c>
      <c r="AX125" t="inlineStr">
        <is>
          <t>991005369889702656</t>
        </is>
      </c>
      <c r="AY125" t="inlineStr">
        <is>
          <t>2258131480002656</t>
        </is>
      </c>
      <c r="AZ125" t="inlineStr">
        <is>
          <t>BOOK</t>
        </is>
      </c>
      <c r="BB125" t="inlineStr">
        <is>
          <t>9780226159621</t>
        </is>
      </c>
      <c r="BC125" t="inlineStr">
        <is>
          <t>32285003239349</t>
        </is>
      </c>
      <c r="BD125" t="inlineStr">
        <is>
          <t>893601091</t>
        </is>
      </c>
    </row>
    <row r="126">
      <c r="A126" t="inlineStr">
        <is>
          <t>No</t>
        </is>
      </c>
      <c r="B126" t="inlineStr">
        <is>
          <t>PG3325.B73 T47 2002</t>
        </is>
      </c>
      <c r="C126" t="inlineStr">
        <is>
          <t>0                      PG 3325000B  73                 T  47          2002</t>
        </is>
      </c>
      <c r="D126" t="inlineStr">
        <is>
          <t>A Karamazov companion : commentary on the genesis, language, and style of Dostoevsky's novel / Victor Terras.</t>
        </is>
      </c>
      <c r="F126" t="inlineStr">
        <is>
          <t>No</t>
        </is>
      </c>
      <c r="G126" t="inlineStr">
        <is>
          <t>1</t>
        </is>
      </c>
      <c r="H126" t="inlineStr">
        <is>
          <t>No</t>
        </is>
      </c>
      <c r="I126" t="inlineStr">
        <is>
          <t>No</t>
        </is>
      </c>
      <c r="J126" t="inlineStr">
        <is>
          <t>0</t>
        </is>
      </c>
      <c r="K126" t="inlineStr">
        <is>
          <t>Terras, Victor.</t>
        </is>
      </c>
      <c r="L126" t="inlineStr">
        <is>
          <t>Madison : University of Wisconsin Press, c2002.</t>
        </is>
      </c>
      <c r="M126" t="inlineStr">
        <is>
          <t>2002</t>
        </is>
      </c>
      <c r="O126" t="inlineStr">
        <is>
          <t>eng</t>
        </is>
      </c>
      <c r="P126" t="inlineStr">
        <is>
          <t>wiu</t>
        </is>
      </c>
      <c r="R126" t="inlineStr">
        <is>
          <t xml:space="preserve">PG </t>
        </is>
      </c>
      <c r="S126" t="n">
        <v>1</v>
      </c>
      <c r="T126" t="n">
        <v>1</v>
      </c>
      <c r="U126" t="inlineStr">
        <is>
          <t>2008-12-17</t>
        </is>
      </c>
      <c r="V126" t="inlineStr">
        <is>
          <t>2008-12-17</t>
        </is>
      </c>
      <c r="W126" t="inlineStr">
        <is>
          <t>2008-12-17</t>
        </is>
      </c>
      <c r="X126" t="inlineStr">
        <is>
          <t>2008-12-17</t>
        </is>
      </c>
      <c r="Y126" t="n">
        <v>62</v>
      </c>
      <c r="Z126" t="n">
        <v>50</v>
      </c>
      <c r="AA126" t="n">
        <v>692</v>
      </c>
      <c r="AB126" t="n">
        <v>1</v>
      </c>
      <c r="AC126" t="n">
        <v>4</v>
      </c>
      <c r="AD126" t="n">
        <v>4</v>
      </c>
      <c r="AE126" t="n">
        <v>33</v>
      </c>
      <c r="AF126" t="n">
        <v>0</v>
      </c>
      <c r="AG126" t="n">
        <v>12</v>
      </c>
      <c r="AH126" t="n">
        <v>1</v>
      </c>
      <c r="AI126" t="n">
        <v>7</v>
      </c>
      <c r="AJ126" t="n">
        <v>4</v>
      </c>
      <c r="AK126" t="n">
        <v>17</v>
      </c>
      <c r="AL126" t="n">
        <v>0</v>
      </c>
      <c r="AM126" t="n">
        <v>3</v>
      </c>
      <c r="AN126" t="n">
        <v>0</v>
      </c>
      <c r="AO126" t="n">
        <v>0</v>
      </c>
      <c r="AP126" t="inlineStr">
        <is>
          <t>No</t>
        </is>
      </c>
      <c r="AQ126" t="inlineStr">
        <is>
          <t>No</t>
        </is>
      </c>
      <c r="AS126">
        <f>HYPERLINK("https://creighton-primo.hosted.exlibrisgroup.com/primo-explore/search?tab=default_tab&amp;search_scope=EVERYTHING&amp;vid=01CRU&amp;lang=en_US&amp;offset=0&amp;query=any,contains,991005285169702656","Catalog Record")</f>
        <v/>
      </c>
      <c r="AT126">
        <f>HYPERLINK("http://www.worldcat.org/oclc/51051719","WorldCat Record")</f>
        <v/>
      </c>
      <c r="AU126" t="inlineStr">
        <is>
          <t>434458:eng</t>
        </is>
      </c>
      <c r="AV126" t="inlineStr">
        <is>
          <t>51051719</t>
        </is>
      </c>
      <c r="AW126" t="inlineStr">
        <is>
          <t>991005285169702656</t>
        </is>
      </c>
      <c r="AX126" t="inlineStr">
        <is>
          <t>991005285169702656</t>
        </is>
      </c>
      <c r="AY126" t="inlineStr">
        <is>
          <t>2263883830002656</t>
        </is>
      </c>
      <c r="AZ126" t="inlineStr">
        <is>
          <t>BOOK</t>
        </is>
      </c>
      <c r="BB126" t="inlineStr">
        <is>
          <t>9780299083144</t>
        </is>
      </c>
      <c r="BC126" t="inlineStr">
        <is>
          <t>32285005474399</t>
        </is>
      </c>
      <c r="BD126" t="inlineStr">
        <is>
          <t>893720129</t>
        </is>
      </c>
    </row>
    <row r="127">
      <c r="A127" t="inlineStr">
        <is>
          <t>No</t>
        </is>
      </c>
      <c r="B127" t="inlineStr">
        <is>
          <t>PG3325.B73 T73 1988</t>
        </is>
      </c>
      <c r="C127" t="inlineStr">
        <is>
          <t>0                      PG 3325000B  73                 T  73          1988</t>
        </is>
      </c>
      <c r="D127" t="inlineStr">
        <is>
          <t>Furnace of doubt : Dostoevsky &amp; "The brothers Karamazov" / Arthur Trace.</t>
        </is>
      </c>
      <c r="F127" t="inlineStr">
        <is>
          <t>No</t>
        </is>
      </c>
      <c r="G127" t="inlineStr">
        <is>
          <t>1</t>
        </is>
      </c>
      <c r="H127" t="inlineStr">
        <is>
          <t>No</t>
        </is>
      </c>
      <c r="I127" t="inlineStr">
        <is>
          <t>No</t>
        </is>
      </c>
      <c r="J127" t="inlineStr">
        <is>
          <t>0</t>
        </is>
      </c>
      <c r="K127" t="inlineStr">
        <is>
          <t>Trace, Arther S.</t>
        </is>
      </c>
      <c r="L127" t="inlineStr">
        <is>
          <t>Peru, Ill. : Sherwood Sugden, 1988.</t>
        </is>
      </c>
      <c r="M127" t="inlineStr">
        <is>
          <t>1988</t>
        </is>
      </c>
      <c r="N127" t="inlineStr">
        <is>
          <t>1st ed.</t>
        </is>
      </c>
      <c r="O127" t="inlineStr">
        <is>
          <t>eng</t>
        </is>
      </c>
      <c r="P127" t="inlineStr">
        <is>
          <t>ilu</t>
        </is>
      </c>
      <c r="R127" t="inlineStr">
        <is>
          <t xml:space="preserve">PG </t>
        </is>
      </c>
      <c r="S127" t="n">
        <v>3</v>
      </c>
      <c r="T127" t="n">
        <v>3</v>
      </c>
      <c r="U127" t="inlineStr">
        <is>
          <t>2010-03-19</t>
        </is>
      </c>
      <c r="V127" t="inlineStr">
        <is>
          <t>2010-03-19</t>
        </is>
      </c>
      <c r="W127" t="inlineStr">
        <is>
          <t>1993-04-28</t>
        </is>
      </c>
      <c r="X127" t="inlineStr">
        <is>
          <t>1993-04-28</t>
        </is>
      </c>
      <c r="Y127" t="n">
        <v>371</v>
      </c>
      <c r="Z127" t="n">
        <v>329</v>
      </c>
      <c r="AA127" t="n">
        <v>331</v>
      </c>
      <c r="AB127" t="n">
        <v>2</v>
      </c>
      <c r="AC127" t="n">
        <v>2</v>
      </c>
      <c r="AD127" t="n">
        <v>27</v>
      </c>
      <c r="AE127" t="n">
        <v>27</v>
      </c>
      <c r="AF127" t="n">
        <v>11</v>
      </c>
      <c r="AG127" t="n">
        <v>11</v>
      </c>
      <c r="AH127" t="n">
        <v>9</v>
      </c>
      <c r="AI127" t="n">
        <v>9</v>
      </c>
      <c r="AJ127" t="n">
        <v>14</v>
      </c>
      <c r="AK127" t="n">
        <v>14</v>
      </c>
      <c r="AL127" t="n">
        <v>1</v>
      </c>
      <c r="AM127" t="n">
        <v>1</v>
      </c>
      <c r="AN127" t="n">
        <v>0</v>
      </c>
      <c r="AO127" t="n">
        <v>0</v>
      </c>
      <c r="AP127" t="inlineStr">
        <is>
          <t>No</t>
        </is>
      </c>
      <c r="AQ127" t="inlineStr">
        <is>
          <t>Yes</t>
        </is>
      </c>
      <c r="AR127">
        <f>HYPERLINK("http://catalog.hathitrust.org/Record/001085102","HathiTrust Record")</f>
        <v/>
      </c>
      <c r="AS127">
        <f>HYPERLINK("https://creighton-primo.hosted.exlibrisgroup.com/primo-explore/search?tab=default_tab&amp;search_scope=EVERYTHING&amp;vid=01CRU&amp;lang=en_US&amp;offset=0&amp;query=any,contains,991001372009702656","Catalog Record")</f>
        <v/>
      </c>
      <c r="AT127">
        <f>HYPERLINK("http://www.worldcat.org/oclc/18587955","WorldCat Record")</f>
        <v/>
      </c>
      <c r="AU127" t="inlineStr">
        <is>
          <t>17976934:eng</t>
        </is>
      </c>
      <c r="AV127" t="inlineStr">
        <is>
          <t>18587955</t>
        </is>
      </c>
      <c r="AW127" t="inlineStr">
        <is>
          <t>991001372009702656</t>
        </is>
      </c>
      <c r="AX127" t="inlineStr">
        <is>
          <t>991001372009702656</t>
        </is>
      </c>
      <c r="AY127" t="inlineStr">
        <is>
          <t>2265644530002656</t>
        </is>
      </c>
      <c r="AZ127" t="inlineStr">
        <is>
          <t>BOOK</t>
        </is>
      </c>
      <c r="BB127" t="inlineStr">
        <is>
          <t>9780893850302</t>
        </is>
      </c>
      <c r="BC127" t="inlineStr">
        <is>
          <t>32285001649028</t>
        </is>
      </c>
      <c r="BD127" t="inlineStr">
        <is>
          <t>893684271</t>
        </is>
      </c>
    </row>
    <row r="128">
      <c r="A128" t="inlineStr">
        <is>
          <t>No</t>
        </is>
      </c>
      <c r="B128" t="inlineStr">
        <is>
          <t>PG3325.B73 W3313</t>
        </is>
      </c>
      <c r="C128" t="inlineStr">
        <is>
          <t>0                      PG 3325000B  73                 W  3313</t>
        </is>
      </c>
      <c r="D128" t="inlineStr">
        <is>
          <t>The notebooks for the Brothers Karamazov [by] Fyodor Dostoevsky. Edited and translated by Edward Wasiolek.</t>
        </is>
      </c>
      <c r="F128" t="inlineStr">
        <is>
          <t>No</t>
        </is>
      </c>
      <c r="G128" t="inlineStr">
        <is>
          <t>1</t>
        </is>
      </c>
      <c r="H128" t="inlineStr">
        <is>
          <t>No</t>
        </is>
      </c>
      <c r="I128" t="inlineStr">
        <is>
          <t>No</t>
        </is>
      </c>
      <c r="J128" t="inlineStr">
        <is>
          <t>0</t>
        </is>
      </c>
      <c r="K128" t="inlineStr">
        <is>
          <t>Dostoyevsky, Fyodor, 1821-1881.</t>
        </is>
      </c>
      <c r="L128" t="inlineStr">
        <is>
          <t>Chicago, University of Chicago Press [1971]</t>
        </is>
      </c>
      <c r="M128" t="inlineStr">
        <is>
          <t>1971</t>
        </is>
      </c>
      <c r="O128" t="inlineStr">
        <is>
          <t>eng</t>
        </is>
      </c>
      <c r="P128" t="inlineStr">
        <is>
          <t>ilu</t>
        </is>
      </c>
      <c r="R128" t="inlineStr">
        <is>
          <t xml:space="preserve">PG </t>
        </is>
      </c>
      <c r="S128" t="n">
        <v>6</v>
      </c>
      <c r="T128" t="n">
        <v>6</v>
      </c>
      <c r="U128" t="inlineStr">
        <is>
          <t>2010-03-19</t>
        </is>
      </c>
      <c r="V128" t="inlineStr">
        <is>
          <t>2010-03-19</t>
        </is>
      </c>
      <c r="W128" t="inlineStr">
        <is>
          <t>1997-10-02</t>
        </is>
      </c>
      <c r="X128" t="inlineStr">
        <is>
          <t>1997-10-02</t>
        </is>
      </c>
      <c r="Y128" t="n">
        <v>971</v>
      </c>
      <c r="Z128" t="n">
        <v>861</v>
      </c>
      <c r="AA128" t="n">
        <v>872</v>
      </c>
      <c r="AB128" t="n">
        <v>8</v>
      </c>
      <c r="AC128" t="n">
        <v>8</v>
      </c>
      <c r="AD128" t="n">
        <v>42</v>
      </c>
      <c r="AE128" t="n">
        <v>42</v>
      </c>
      <c r="AF128" t="n">
        <v>16</v>
      </c>
      <c r="AG128" t="n">
        <v>16</v>
      </c>
      <c r="AH128" t="n">
        <v>9</v>
      </c>
      <c r="AI128" t="n">
        <v>9</v>
      </c>
      <c r="AJ128" t="n">
        <v>21</v>
      </c>
      <c r="AK128" t="n">
        <v>21</v>
      </c>
      <c r="AL128" t="n">
        <v>6</v>
      </c>
      <c r="AM128" t="n">
        <v>6</v>
      </c>
      <c r="AN128" t="n">
        <v>0</v>
      </c>
      <c r="AO128" t="n">
        <v>0</v>
      </c>
      <c r="AP128" t="inlineStr">
        <is>
          <t>No</t>
        </is>
      </c>
      <c r="AQ128" t="inlineStr">
        <is>
          <t>No</t>
        </is>
      </c>
      <c r="AS128">
        <f>HYPERLINK("https://creighton-primo.hosted.exlibrisgroup.com/primo-explore/search?tab=default_tab&amp;search_scope=EVERYTHING&amp;vid=01CRU&amp;lang=en_US&amp;offset=0&amp;query=any,contains,991005353389702656","Catalog Record")</f>
        <v/>
      </c>
      <c r="AT128">
        <f>HYPERLINK("http://www.worldcat.org/oclc/142617","WorldCat Record")</f>
        <v/>
      </c>
      <c r="AU128" t="inlineStr">
        <is>
          <t>366164743:eng</t>
        </is>
      </c>
      <c r="AV128" t="inlineStr">
        <is>
          <t>142617</t>
        </is>
      </c>
      <c r="AW128" t="inlineStr">
        <is>
          <t>991005353389702656</t>
        </is>
      </c>
      <c r="AX128" t="inlineStr">
        <is>
          <t>991005353389702656</t>
        </is>
      </c>
      <c r="AY128" t="inlineStr">
        <is>
          <t>2255077910002656</t>
        </is>
      </c>
      <c r="AZ128" t="inlineStr">
        <is>
          <t>BOOK</t>
        </is>
      </c>
      <c r="BB128" t="inlineStr">
        <is>
          <t>9780226159676</t>
        </is>
      </c>
      <c r="BC128" t="inlineStr">
        <is>
          <t>32285003239331</t>
        </is>
      </c>
      <c r="BD128" t="inlineStr">
        <is>
          <t>893431295</t>
        </is>
      </c>
    </row>
    <row r="129">
      <c r="A129" t="inlineStr">
        <is>
          <t>No</t>
        </is>
      </c>
      <c r="B129" t="inlineStr">
        <is>
          <t>PG3325.I33 M54</t>
        </is>
      </c>
      <c r="C129" t="inlineStr">
        <is>
          <t>0                      PG 3325000I  33                 M  54</t>
        </is>
      </c>
      <c r="D129" t="inlineStr">
        <is>
          <t>Dostoevsky and The idiot : author, narrator, and reader / Robin Feuer Miller.</t>
        </is>
      </c>
      <c r="F129" t="inlineStr">
        <is>
          <t>No</t>
        </is>
      </c>
      <c r="G129" t="inlineStr">
        <is>
          <t>1</t>
        </is>
      </c>
      <c r="H129" t="inlineStr">
        <is>
          <t>No</t>
        </is>
      </c>
      <c r="I129" t="inlineStr">
        <is>
          <t>No</t>
        </is>
      </c>
      <c r="J129" t="inlineStr">
        <is>
          <t>0</t>
        </is>
      </c>
      <c r="K129" t="inlineStr">
        <is>
          <t>Miller, Robin Feuer, 1947-</t>
        </is>
      </c>
      <c r="L129" t="inlineStr">
        <is>
          <t>Cambridge, Mass. : Harvard University Press, 1981.</t>
        </is>
      </c>
      <c r="M129" t="inlineStr">
        <is>
          <t>1981</t>
        </is>
      </c>
      <c r="O129" t="inlineStr">
        <is>
          <t>eng</t>
        </is>
      </c>
      <c r="P129" t="inlineStr">
        <is>
          <t>mau</t>
        </is>
      </c>
      <c r="R129" t="inlineStr">
        <is>
          <t xml:space="preserve">PG </t>
        </is>
      </c>
      <c r="S129" t="n">
        <v>5</v>
      </c>
      <c r="T129" t="n">
        <v>5</v>
      </c>
      <c r="U129" t="inlineStr">
        <is>
          <t>2000-08-25</t>
        </is>
      </c>
      <c r="V129" t="inlineStr">
        <is>
          <t>2000-08-25</t>
        </is>
      </c>
      <c r="W129" t="inlineStr">
        <is>
          <t>1993-04-28</t>
        </is>
      </c>
      <c r="X129" t="inlineStr">
        <is>
          <t>1993-04-28</t>
        </is>
      </c>
      <c r="Y129" t="n">
        <v>533</v>
      </c>
      <c r="Z129" t="n">
        <v>436</v>
      </c>
      <c r="AA129" t="n">
        <v>447</v>
      </c>
      <c r="AB129" t="n">
        <v>3</v>
      </c>
      <c r="AC129" t="n">
        <v>3</v>
      </c>
      <c r="AD129" t="n">
        <v>24</v>
      </c>
      <c r="AE129" t="n">
        <v>24</v>
      </c>
      <c r="AF129" t="n">
        <v>7</v>
      </c>
      <c r="AG129" t="n">
        <v>7</v>
      </c>
      <c r="AH129" t="n">
        <v>7</v>
      </c>
      <c r="AI129" t="n">
        <v>7</v>
      </c>
      <c r="AJ129" t="n">
        <v>15</v>
      </c>
      <c r="AK129" t="n">
        <v>15</v>
      </c>
      <c r="AL129" t="n">
        <v>2</v>
      </c>
      <c r="AM129" t="n">
        <v>2</v>
      </c>
      <c r="AN129" t="n">
        <v>0</v>
      </c>
      <c r="AO129" t="n">
        <v>0</v>
      </c>
      <c r="AP129" t="inlineStr">
        <is>
          <t>No</t>
        </is>
      </c>
      <c r="AQ129" t="inlineStr">
        <is>
          <t>Yes</t>
        </is>
      </c>
      <c r="AR129">
        <f>HYPERLINK("http://catalog.hathitrust.org/Record/000099868","HathiTrust Record")</f>
        <v/>
      </c>
      <c r="AS129">
        <f>HYPERLINK("https://creighton-primo.hosted.exlibrisgroup.com/primo-explore/search?tab=default_tab&amp;search_scope=EVERYTHING&amp;vid=01CRU&amp;lang=en_US&amp;offset=0&amp;query=any,contains,991005387359702656","Catalog Record")</f>
        <v/>
      </c>
      <c r="AT129">
        <f>HYPERLINK("http://www.worldcat.org/oclc/7197805","WorldCat Record")</f>
        <v/>
      </c>
      <c r="AU129" t="inlineStr">
        <is>
          <t>198550974:eng</t>
        </is>
      </c>
      <c r="AV129" t="inlineStr">
        <is>
          <t>7197805</t>
        </is>
      </c>
      <c r="AW129" t="inlineStr">
        <is>
          <t>991005387359702656</t>
        </is>
      </c>
      <c r="AX129" t="inlineStr">
        <is>
          <t>991005387359702656</t>
        </is>
      </c>
      <c r="AY129" t="inlineStr">
        <is>
          <t>2256946650002656</t>
        </is>
      </c>
      <c r="AZ129" t="inlineStr">
        <is>
          <t>BOOK</t>
        </is>
      </c>
      <c r="BB129" t="inlineStr">
        <is>
          <t>9780674214903</t>
        </is>
      </c>
      <c r="BC129" t="inlineStr">
        <is>
          <t>32285001649036</t>
        </is>
      </c>
      <c r="BD129" t="inlineStr">
        <is>
          <t>893695257</t>
        </is>
      </c>
    </row>
    <row r="130">
      <c r="A130" t="inlineStr">
        <is>
          <t>No</t>
        </is>
      </c>
      <c r="B130" t="inlineStr">
        <is>
          <t>PG3325.P73 J3 1974</t>
        </is>
      </c>
      <c r="C130" t="inlineStr">
        <is>
          <t>0                      PG 3325000P  73                 J  3           1974</t>
        </is>
      </c>
      <c r="D130" t="inlineStr">
        <is>
          <t>Twentieth century interpretations of Crime and punishment; a collection of critical essays.</t>
        </is>
      </c>
      <c r="F130" t="inlineStr">
        <is>
          <t>No</t>
        </is>
      </c>
      <c r="G130" t="inlineStr">
        <is>
          <t>1</t>
        </is>
      </c>
      <c r="H130" t="inlineStr">
        <is>
          <t>No</t>
        </is>
      </c>
      <c r="I130" t="inlineStr">
        <is>
          <t>No</t>
        </is>
      </c>
      <c r="J130" t="inlineStr">
        <is>
          <t>0</t>
        </is>
      </c>
      <c r="K130" t="inlineStr">
        <is>
          <t>Jackson, Robert Louis compiler.</t>
        </is>
      </c>
      <c r="L130" t="inlineStr">
        <is>
          <t>Englewood Cliffs, N.J., Prentice-Hall [1973, c1974]</t>
        </is>
      </c>
      <c r="M130" t="inlineStr">
        <is>
          <t>1973</t>
        </is>
      </c>
      <c r="O130" t="inlineStr">
        <is>
          <t>eng</t>
        </is>
      </c>
      <c r="P130" t="inlineStr">
        <is>
          <t>nju</t>
        </is>
      </c>
      <c r="Q130" t="inlineStr">
        <is>
          <t>A Spectrum book</t>
        </is>
      </c>
      <c r="R130" t="inlineStr">
        <is>
          <t xml:space="preserve">PG </t>
        </is>
      </c>
      <c r="S130" t="n">
        <v>7</v>
      </c>
      <c r="T130" t="n">
        <v>7</v>
      </c>
      <c r="U130" t="inlineStr">
        <is>
          <t>2006-09-09</t>
        </is>
      </c>
      <c r="V130" t="inlineStr">
        <is>
          <t>2006-09-09</t>
        </is>
      </c>
      <c r="W130" t="inlineStr">
        <is>
          <t>1997-10-02</t>
        </is>
      </c>
      <c r="X130" t="inlineStr">
        <is>
          <t>1997-10-02</t>
        </is>
      </c>
      <c r="Y130" t="n">
        <v>1282</v>
      </c>
      <c r="Z130" t="n">
        <v>1194</v>
      </c>
      <c r="AA130" t="n">
        <v>1353</v>
      </c>
      <c r="AB130" t="n">
        <v>9</v>
      </c>
      <c r="AC130" t="n">
        <v>13</v>
      </c>
      <c r="AD130" t="n">
        <v>38</v>
      </c>
      <c r="AE130" t="n">
        <v>43</v>
      </c>
      <c r="AF130" t="n">
        <v>16</v>
      </c>
      <c r="AG130" t="n">
        <v>17</v>
      </c>
      <c r="AH130" t="n">
        <v>7</v>
      </c>
      <c r="AI130" t="n">
        <v>7</v>
      </c>
      <c r="AJ130" t="n">
        <v>15</v>
      </c>
      <c r="AK130" t="n">
        <v>16</v>
      </c>
      <c r="AL130" t="n">
        <v>8</v>
      </c>
      <c r="AM130" t="n">
        <v>11</v>
      </c>
      <c r="AN130" t="n">
        <v>0</v>
      </c>
      <c r="AO130" t="n">
        <v>0</v>
      </c>
      <c r="AP130" t="inlineStr">
        <is>
          <t>No</t>
        </is>
      </c>
      <c r="AQ130" t="inlineStr">
        <is>
          <t>Yes</t>
        </is>
      </c>
      <c r="AR130">
        <f>HYPERLINK("http://catalog.hathitrust.org/Record/012256364","HathiTrust Record")</f>
        <v/>
      </c>
      <c r="AS130">
        <f>HYPERLINK("https://creighton-primo.hosted.exlibrisgroup.com/primo-explore/search?tab=default_tab&amp;search_scope=EVERYTHING&amp;vid=01CRU&amp;lang=en_US&amp;offset=0&amp;query=any,contains,991003165919702656","Catalog Record")</f>
        <v/>
      </c>
      <c r="AT130">
        <f>HYPERLINK("http://www.worldcat.org/oclc/703283","WorldCat Record")</f>
        <v/>
      </c>
      <c r="AU130" t="inlineStr">
        <is>
          <t>410569:eng</t>
        </is>
      </c>
      <c r="AV130" t="inlineStr">
        <is>
          <t>703283</t>
        </is>
      </c>
      <c r="AW130" t="inlineStr">
        <is>
          <t>991003165919702656</t>
        </is>
      </c>
      <c r="AX130" t="inlineStr">
        <is>
          <t>991003165919702656</t>
        </is>
      </c>
      <c r="AY130" t="inlineStr">
        <is>
          <t>2257370930002656</t>
        </is>
      </c>
      <c r="AZ130" t="inlineStr">
        <is>
          <t>BOOK</t>
        </is>
      </c>
      <c r="BB130" t="inlineStr">
        <is>
          <t>9780131930865</t>
        </is>
      </c>
      <c r="BC130" t="inlineStr">
        <is>
          <t>32285003239356</t>
        </is>
      </c>
      <c r="BD130" t="inlineStr">
        <is>
          <t>893524491</t>
        </is>
      </c>
    </row>
    <row r="131">
      <c r="A131" t="inlineStr">
        <is>
          <t>No</t>
        </is>
      </c>
      <c r="B131" t="inlineStr">
        <is>
          <t>PG3325.Z43 J3 1981</t>
        </is>
      </c>
      <c r="C131" t="inlineStr">
        <is>
          <t>0                      PG 3325000Z  43                 J  3           1981</t>
        </is>
      </c>
      <c r="D131" t="inlineStr">
        <is>
          <t>Dostoevsky's underground man in Russian literature / by Robert Louis Jackson.</t>
        </is>
      </c>
      <c r="F131" t="inlineStr">
        <is>
          <t>No</t>
        </is>
      </c>
      <c r="G131" t="inlineStr">
        <is>
          <t>1</t>
        </is>
      </c>
      <c r="H131" t="inlineStr">
        <is>
          <t>No</t>
        </is>
      </c>
      <c r="I131" t="inlineStr">
        <is>
          <t>No</t>
        </is>
      </c>
      <c r="J131" t="inlineStr">
        <is>
          <t>0</t>
        </is>
      </c>
      <c r="K131" t="inlineStr">
        <is>
          <t>Jackson, Robert Louis.</t>
        </is>
      </c>
      <c r="L131" t="inlineStr">
        <is>
          <t>Westport, Conn. : Greenwood Press, 1981.</t>
        </is>
      </c>
      <c r="M131" t="inlineStr">
        <is>
          <t>1981</t>
        </is>
      </c>
      <c r="O131" t="inlineStr">
        <is>
          <t>eng</t>
        </is>
      </c>
      <c r="P131" t="inlineStr">
        <is>
          <t>ctu</t>
        </is>
      </c>
      <c r="R131" t="inlineStr">
        <is>
          <t xml:space="preserve">PG </t>
        </is>
      </c>
      <c r="S131" t="n">
        <v>8</v>
      </c>
      <c r="T131" t="n">
        <v>8</v>
      </c>
      <c r="U131" t="inlineStr">
        <is>
          <t>2006-04-14</t>
        </is>
      </c>
      <c r="V131" t="inlineStr">
        <is>
          <t>2006-04-14</t>
        </is>
      </c>
      <c r="W131" t="inlineStr">
        <is>
          <t>1991-12-05</t>
        </is>
      </c>
      <c r="X131" t="inlineStr">
        <is>
          <t>1991-12-05</t>
        </is>
      </c>
      <c r="Y131" t="n">
        <v>109</v>
      </c>
      <c r="Z131" t="n">
        <v>99</v>
      </c>
      <c r="AA131" t="n">
        <v>401</v>
      </c>
      <c r="AB131" t="n">
        <v>1</v>
      </c>
      <c r="AC131" t="n">
        <v>1</v>
      </c>
      <c r="AD131" t="n">
        <v>7</v>
      </c>
      <c r="AE131" t="n">
        <v>21</v>
      </c>
      <c r="AF131" t="n">
        <v>3</v>
      </c>
      <c r="AG131" t="n">
        <v>9</v>
      </c>
      <c r="AH131" t="n">
        <v>2</v>
      </c>
      <c r="AI131" t="n">
        <v>8</v>
      </c>
      <c r="AJ131" t="n">
        <v>5</v>
      </c>
      <c r="AK131" t="n">
        <v>10</v>
      </c>
      <c r="AL131" t="n">
        <v>0</v>
      </c>
      <c r="AM131" t="n">
        <v>0</v>
      </c>
      <c r="AN131" t="n">
        <v>0</v>
      </c>
      <c r="AO131" t="n">
        <v>0</v>
      </c>
      <c r="AP131" t="inlineStr">
        <is>
          <t>No</t>
        </is>
      </c>
      <c r="AQ131" t="inlineStr">
        <is>
          <t>Yes</t>
        </is>
      </c>
      <c r="AR131">
        <f>HYPERLINK("http://catalog.hathitrust.org/Record/000645839","HathiTrust Record")</f>
        <v/>
      </c>
      <c r="AS131">
        <f>HYPERLINK("https://creighton-primo.hosted.exlibrisgroup.com/primo-explore/search?tab=default_tab&amp;search_scope=EVERYTHING&amp;vid=01CRU&amp;lang=en_US&amp;offset=0&amp;query=any,contains,991005097469702656","Catalog Record")</f>
        <v/>
      </c>
      <c r="AT131">
        <f>HYPERLINK("http://www.worldcat.org/oclc/7276254","WorldCat Record")</f>
        <v/>
      </c>
      <c r="AU131" t="inlineStr">
        <is>
          <t>1403326:eng</t>
        </is>
      </c>
      <c r="AV131" t="inlineStr">
        <is>
          <t>7276254</t>
        </is>
      </c>
      <c r="AW131" t="inlineStr">
        <is>
          <t>991005097469702656</t>
        </is>
      </c>
      <c r="AX131" t="inlineStr">
        <is>
          <t>991005097469702656</t>
        </is>
      </c>
      <c r="AY131" t="inlineStr">
        <is>
          <t>2259977600002656</t>
        </is>
      </c>
      <c r="AZ131" t="inlineStr">
        <is>
          <t>BOOK</t>
        </is>
      </c>
      <c r="BB131" t="inlineStr">
        <is>
          <t>9780313229329</t>
        </is>
      </c>
      <c r="BC131" t="inlineStr">
        <is>
          <t>32285000654789</t>
        </is>
      </c>
      <c r="BD131" t="inlineStr">
        <is>
          <t>893446557</t>
        </is>
      </c>
    </row>
    <row r="132">
      <c r="A132" t="inlineStr">
        <is>
          <t>No</t>
        </is>
      </c>
      <c r="B132" t="inlineStr">
        <is>
          <t>PG3326 .B6 1971</t>
        </is>
      </c>
      <c r="C132" t="inlineStr">
        <is>
          <t>0                      PG 3326000B  6           1971</t>
        </is>
      </c>
      <c r="D132" t="inlineStr">
        <is>
          <t>The devils = (The possessed) / Fyodor Dostoyevsky ; translated with an introduction by David Magarshack.</t>
        </is>
      </c>
      <c r="F132" t="inlineStr">
        <is>
          <t>No</t>
        </is>
      </c>
      <c r="G132" t="inlineStr">
        <is>
          <t>1</t>
        </is>
      </c>
      <c r="H132" t="inlineStr">
        <is>
          <t>No</t>
        </is>
      </c>
      <c r="I132" t="inlineStr">
        <is>
          <t>Yes</t>
        </is>
      </c>
      <c r="J132" t="inlineStr">
        <is>
          <t>0</t>
        </is>
      </c>
      <c r="K132" t="inlineStr">
        <is>
          <t>Dostoyevsky, Fyodor, 1821-1881.</t>
        </is>
      </c>
      <c r="L132" t="inlineStr">
        <is>
          <t>Middlesex, Eng., ; Baltimore, Md. : Penguin Books, c1971</t>
        </is>
      </c>
      <c r="M132" t="inlineStr">
        <is>
          <t>1971</t>
        </is>
      </c>
      <c r="O132" t="inlineStr">
        <is>
          <t>eng</t>
        </is>
      </c>
      <c r="P132" t="inlineStr">
        <is>
          <t>enk</t>
        </is>
      </c>
      <c r="Q132" t="inlineStr">
        <is>
          <t>Penguin classics</t>
        </is>
      </c>
      <c r="R132" t="inlineStr">
        <is>
          <t xml:space="preserve">PG </t>
        </is>
      </c>
      <c r="S132" t="n">
        <v>6</v>
      </c>
      <c r="T132" t="n">
        <v>6</v>
      </c>
      <c r="U132" t="inlineStr">
        <is>
          <t>2007-02-09</t>
        </is>
      </c>
      <c r="V132" t="inlineStr">
        <is>
          <t>2007-02-09</t>
        </is>
      </c>
      <c r="W132" t="inlineStr">
        <is>
          <t>2003-12-16</t>
        </is>
      </c>
      <c r="X132" t="inlineStr">
        <is>
          <t>2003-12-16</t>
        </is>
      </c>
      <c r="Y132" t="n">
        <v>295</v>
      </c>
      <c r="Z132" t="n">
        <v>217</v>
      </c>
      <c r="AA132" t="n">
        <v>3177</v>
      </c>
      <c r="AB132" t="n">
        <v>1</v>
      </c>
      <c r="AC132" t="n">
        <v>30</v>
      </c>
      <c r="AD132" t="n">
        <v>2</v>
      </c>
      <c r="AE132" t="n">
        <v>70</v>
      </c>
      <c r="AF132" t="n">
        <v>1</v>
      </c>
      <c r="AG132" t="n">
        <v>29</v>
      </c>
      <c r="AH132" t="n">
        <v>0</v>
      </c>
      <c r="AI132" t="n">
        <v>11</v>
      </c>
      <c r="AJ132" t="n">
        <v>2</v>
      </c>
      <c r="AK132" t="n">
        <v>28</v>
      </c>
      <c r="AL132" t="n">
        <v>0</v>
      </c>
      <c r="AM132" t="n">
        <v>14</v>
      </c>
      <c r="AN132" t="n">
        <v>0</v>
      </c>
      <c r="AO132" t="n">
        <v>2</v>
      </c>
      <c r="AP132" t="inlineStr">
        <is>
          <t>No</t>
        </is>
      </c>
      <c r="AQ132" t="inlineStr">
        <is>
          <t>Yes</t>
        </is>
      </c>
      <c r="AR132">
        <f>HYPERLINK("http://catalog.hathitrust.org/Record/000577159","HathiTrust Record")</f>
        <v/>
      </c>
      <c r="AS132">
        <f>HYPERLINK("https://creighton-primo.hosted.exlibrisgroup.com/primo-explore/search?tab=default_tab&amp;search_scope=EVERYTHING&amp;vid=01CRU&amp;lang=en_US&amp;offset=0&amp;query=any,contains,991004207529702656","Catalog Record")</f>
        <v/>
      </c>
      <c r="AT132">
        <f>HYPERLINK("http://www.worldcat.org/oclc/32568906","WorldCat Record")</f>
        <v/>
      </c>
      <c r="AU132" t="inlineStr">
        <is>
          <t>895824667:eng</t>
        </is>
      </c>
      <c r="AV132" t="inlineStr">
        <is>
          <t>32568906</t>
        </is>
      </c>
      <c r="AW132" t="inlineStr">
        <is>
          <t>991004207529702656</t>
        </is>
      </c>
      <c r="AX132" t="inlineStr">
        <is>
          <t>991004207529702656</t>
        </is>
      </c>
      <c r="AY132" t="inlineStr">
        <is>
          <t>2260366750002656</t>
        </is>
      </c>
      <c r="AZ132" t="inlineStr">
        <is>
          <t>BOOK</t>
        </is>
      </c>
      <c r="BB132" t="inlineStr">
        <is>
          <t>9780140440355</t>
        </is>
      </c>
      <c r="BC132" t="inlineStr">
        <is>
          <t>32285004847595</t>
        </is>
      </c>
      <c r="BD132" t="inlineStr">
        <is>
          <t>893337444</t>
        </is>
      </c>
    </row>
    <row r="133">
      <c r="A133" t="inlineStr">
        <is>
          <t>No</t>
        </is>
      </c>
      <c r="B133" t="inlineStr">
        <is>
          <t>PG3326 .I4 1972</t>
        </is>
      </c>
      <c r="C133" t="inlineStr">
        <is>
          <t>0                      PG 3326000I  4           1972</t>
        </is>
      </c>
      <c r="D133" t="inlineStr">
        <is>
          <t>The gambler, with Polina Suslova's diary / Fyodor Dostoevsky ; translated by Victor Terras ; edited by Edward Wasiolek.</t>
        </is>
      </c>
      <c r="F133" t="inlineStr">
        <is>
          <t>No</t>
        </is>
      </c>
      <c r="G133" t="inlineStr">
        <is>
          <t>1</t>
        </is>
      </c>
      <c r="H133" t="inlineStr">
        <is>
          <t>No</t>
        </is>
      </c>
      <c r="I133" t="inlineStr">
        <is>
          <t>No</t>
        </is>
      </c>
      <c r="J133" t="inlineStr">
        <is>
          <t>0</t>
        </is>
      </c>
      <c r="K133" t="inlineStr">
        <is>
          <t>Dostoyevsky, Fyodor, 1821-1881.</t>
        </is>
      </c>
      <c r="L133" t="inlineStr">
        <is>
          <t>Chicago : University of Chicago Press, 1972.</t>
        </is>
      </c>
      <c r="M133" t="inlineStr">
        <is>
          <t>1972</t>
        </is>
      </c>
      <c r="O133" t="inlineStr">
        <is>
          <t>eng</t>
        </is>
      </c>
      <c r="P133" t="inlineStr">
        <is>
          <t>ilu</t>
        </is>
      </c>
      <c r="R133" t="inlineStr">
        <is>
          <t xml:space="preserve">PG </t>
        </is>
      </c>
      <c r="S133" t="n">
        <v>3</v>
      </c>
      <c r="T133" t="n">
        <v>3</v>
      </c>
      <c r="U133" t="inlineStr">
        <is>
          <t>1998-01-14</t>
        </is>
      </c>
      <c r="V133" t="inlineStr">
        <is>
          <t>1998-01-14</t>
        </is>
      </c>
      <c r="W133" t="inlineStr">
        <is>
          <t>1997-10-02</t>
        </is>
      </c>
      <c r="X133" t="inlineStr">
        <is>
          <t>1997-10-02</t>
        </is>
      </c>
      <c r="Y133" t="n">
        <v>805</v>
      </c>
      <c r="Z133" t="n">
        <v>740</v>
      </c>
      <c r="AA133" t="n">
        <v>760</v>
      </c>
      <c r="AB133" t="n">
        <v>3</v>
      </c>
      <c r="AC133" t="n">
        <v>3</v>
      </c>
      <c r="AD133" t="n">
        <v>25</v>
      </c>
      <c r="AE133" t="n">
        <v>25</v>
      </c>
      <c r="AF133" t="n">
        <v>9</v>
      </c>
      <c r="AG133" t="n">
        <v>9</v>
      </c>
      <c r="AH133" t="n">
        <v>5</v>
      </c>
      <c r="AI133" t="n">
        <v>5</v>
      </c>
      <c r="AJ133" t="n">
        <v>16</v>
      </c>
      <c r="AK133" t="n">
        <v>16</v>
      </c>
      <c r="AL133" t="n">
        <v>2</v>
      </c>
      <c r="AM133" t="n">
        <v>2</v>
      </c>
      <c r="AN133" t="n">
        <v>0</v>
      </c>
      <c r="AO133" t="n">
        <v>0</v>
      </c>
      <c r="AP133" t="inlineStr">
        <is>
          <t>No</t>
        </is>
      </c>
      <c r="AQ133" t="inlineStr">
        <is>
          <t>No</t>
        </is>
      </c>
      <c r="AS133">
        <f>HYPERLINK("https://creighton-primo.hosted.exlibrisgroup.com/primo-explore/search?tab=default_tab&amp;search_scope=EVERYTHING&amp;vid=01CRU&amp;lang=en_US&amp;offset=0&amp;query=any,contains,991003842669702656","Catalog Record")</f>
        <v/>
      </c>
      <c r="AT133">
        <f>HYPERLINK("http://www.worldcat.org/oclc/1621874","WorldCat Record")</f>
        <v/>
      </c>
      <c r="AU133" t="inlineStr">
        <is>
          <t>3855607326:eng</t>
        </is>
      </c>
      <c r="AV133" t="inlineStr">
        <is>
          <t>1621874</t>
        </is>
      </c>
      <c r="AW133" t="inlineStr">
        <is>
          <t>991003842669702656</t>
        </is>
      </c>
      <c r="AX133" t="inlineStr">
        <is>
          <t>991003842669702656</t>
        </is>
      </c>
      <c r="AY133" t="inlineStr">
        <is>
          <t>2269657300002656</t>
        </is>
      </c>
      <c r="AZ133" t="inlineStr">
        <is>
          <t>BOOK</t>
        </is>
      </c>
      <c r="BB133" t="inlineStr">
        <is>
          <t>9780226159706</t>
        </is>
      </c>
      <c r="BC133" t="inlineStr">
        <is>
          <t>32285003239380</t>
        </is>
      </c>
      <c r="BD133" t="inlineStr">
        <is>
          <t>893353067</t>
        </is>
      </c>
    </row>
    <row r="134">
      <c r="A134" t="inlineStr">
        <is>
          <t>No</t>
        </is>
      </c>
      <c r="B134" t="inlineStr">
        <is>
          <t>PG3326 .N4</t>
        </is>
      </c>
      <c r="C134" t="inlineStr">
        <is>
          <t>0                      PG 3326000N  4</t>
        </is>
      </c>
      <c r="D134" t="inlineStr">
        <is>
          <t>Netochka Nezvanova / by Fyodor Dostoyevsky. Translated by Ann Dunnigan.</t>
        </is>
      </c>
      <c r="F134" t="inlineStr">
        <is>
          <t>No</t>
        </is>
      </c>
      <c r="G134" t="inlineStr">
        <is>
          <t>1</t>
        </is>
      </c>
      <c r="H134" t="inlineStr">
        <is>
          <t>No</t>
        </is>
      </c>
      <c r="I134" t="inlineStr">
        <is>
          <t>No</t>
        </is>
      </c>
      <c r="J134" t="inlineStr">
        <is>
          <t>0</t>
        </is>
      </c>
      <c r="K134" t="inlineStr">
        <is>
          <t>Dostoyevsky, Fyodor, 1821-1881.</t>
        </is>
      </c>
      <c r="L134" t="inlineStr">
        <is>
          <t>Englewood Cliffs, N.J. : Prentice-Hall, 1971, c1970.</t>
        </is>
      </c>
      <c r="M134" t="inlineStr">
        <is>
          <t>1971</t>
        </is>
      </c>
      <c r="N134" t="inlineStr">
        <is>
          <t>1st Prism pbk. ed.</t>
        </is>
      </c>
      <c r="O134" t="inlineStr">
        <is>
          <t>eng</t>
        </is>
      </c>
      <c r="P134" t="inlineStr">
        <is>
          <t>nju</t>
        </is>
      </c>
      <c r="R134" t="inlineStr">
        <is>
          <t xml:space="preserve">PG </t>
        </is>
      </c>
      <c r="S134" t="n">
        <v>4</v>
      </c>
      <c r="T134" t="n">
        <v>4</v>
      </c>
      <c r="U134" t="inlineStr">
        <is>
          <t>2001-09-04</t>
        </is>
      </c>
      <c r="V134" t="inlineStr">
        <is>
          <t>2001-09-04</t>
        </is>
      </c>
      <c r="W134" t="inlineStr">
        <is>
          <t>1993-02-22</t>
        </is>
      </c>
      <c r="X134" t="inlineStr">
        <is>
          <t>1993-02-22</t>
        </is>
      </c>
      <c r="Y134" t="n">
        <v>861</v>
      </c>
      <c r="Z134" t="n">
        <v>806</v>
      </c>
      <c r="AA134" t="n">
        <v>949</v>
      </c>
      <c r="AB134" t="n">
        <v>7</v>
      </c>
      <c r="AC134" t="n">
        <v>7</v>
      </c>
      <c r="AD134" t="n">
        <v>28</v>
      </c>
      <c r="AE134" t="n">
        <v>30</v>
      </c>
      <c r="AF134" t="n">
        <v>10</v>
      </c>
      <c r="AG134" t="n">
        <v>12</v>
      </c>
      <c r="AH134" t="n">
        <v>6</v>
      </c>
      <c r="AI134" t="n">
        <v>7</v>
      </c>
      <c r="AJ134" t="n">
        <v>13</v>
      </c>
      <c r="AK134" t="n">
        <v>13</v>
      </c>
      <c r="AL134" t="n">
        <v>5</v>
      </c>
      <c r="AM134" t="n">
        <v>5</v>
      </c>
      <c r="AN134" t="n">
        <v>0</v>
      </c>
      <c r="AO134" t="n">
        <v>0</v>
      </c>
      <c r="AP134" t="inlineStr">
        <is>
          <t>No</t>
        </is>
      </c>
      <c r="AQ134" t="inlineStr">
        <is>
          <t>Yes</t>
        </is>
      </c>
      <c r="AR134">
        <f>HYPERLINK("http://catalog.hathitrust.org/Record/001224397","HathiTrust Record")</f>
        <v/>
      </c>
      <c r="AS134">
        <f>HYPERLINK("https://creighton-primo.hosted.exlibrisgroup.com/primo-explore/search?tab=default_tab&amp;search_scope=EVERYTHING&amp;vid=01CRU&amp;lang=en_US&amp;offset=0&amp;query=any,contains,991000569429702656","Catalog Record")</f>
        <v/>
      </c>
      <c r="AT134">
        <f>HYPERLINK("http://www.worldcat.org/oclc/94702","WorldCat Record")</f>
        <v/>
      </c>
      <c r="AU134" t="inlineStr">
        <is>
          <t>2908852095:eng</t>
        </is>
      </c>
      <c r="AV134" t="inlineStr">
        <is>
          <t>94702</t>
        </is>
      </c>
      <c r="AW134" t="inlineStr">
        <is>
          <t>991000569429702656</t>
        </is>
      </c>
      <c r="AX134" t="inlineStr">
        <is>
          <t>991000569429702656</t>
        </is>
      </c>
      <c r="AY134" t="inlineStr">
        <is>
          <t>2265998420002656</t>
        </is>
      </c>
      <c r="AZ134" t="inlineStr">
        <is>
          <t>BOOK</t>
        </is>
      </c>
      <c r="BC134" t="inlineStr">
        <is>
          <t>32285001496859</t>
        </is>
      </c>
      <c r="BD134" t="inlineStr">
        <is>
          <t>893444379</t>
        </is>
      </c>
    </row>
    <row r="135">
      <c r="A135" t="inlineStr">
        <is>
          <t>No</t>
        </is>
      </c>
      <c r="B135" t="inlineStr">
        <is>
          <t>PG3326 .P6</t>
        </is>
      </c>
      <c r="C135" t="inlineStr">
        <is>
          <t>0                      PG 3326000P  6</t>
        </is>
      </c>
      <c r="D135" t="inlineStr">
        <is>
          <t>Poor people / by Fedor Dostoyevsky.</t>
        </is>
      </c>
      <c r="F135" t="inlineStr">
        <is>
          <t>No</t>
        </is>
      </c>
      <c r="G135" t="inlineStr">
        <is>
          <t>1</t>
        </is>
      </c>
      <c r="H135" t="inlineStr">
        <is>
          <t>No</t>
        </is>
      </c>
      <c r="I135" t="inlineStr">
        <is>
          <t>No</t>
        </is>
      </c>
      <c r="J135" t="inlineStr">
        <is>
          <t>0</t>
        </is>
      </c>
      <c r="K135" t="inlineStr">
        <is>
          <t>Dostoyevsky, Fyodor, 1821-1881.</t>
        </is>
      </c>
      <c r="L135" t="inlineStr">
        <is>
          <t>New York : Boni and Liveright, inc., [c1917]</t>
        </is>
      </c>
      <c r="M135" t="inlineStr">
        <is>
          <t>1917</t>
        </is>
      </c>
      <c r="O135" t="inlineStr">
        <is>
          <t>eng</t>
        </is>
      </c>
      <c r="P135" t="inlineStr">
        <is>
          <t>nyu</t>
        </is>
      </c>
      <c r="Q135" t="inlineStr">
        <is>
          <t>The Modern library of the world's best books</t>
        </is>
      </c>
      <c r="R135" t="inlineStr">
        <is>
          <t xml:space="preserve">PG </t>
        </is>
      </c>
      <c r="S135" t="n">
        <v>4</v>
      </c>
      <c r="T135" t="n">
        <v>4</v>
      </c>
      <c r="U135" t="inlineStr">
        <is>
          <t>2008-09-10</t>
        </is>
      </c>
      <c r="V135" t="inlineStr">
        <is>
          <t>2008-09-10</t>
        </is>
      </c>
      <c r="W135" t="inlineStr">
        <is>
          <t>1991-12-04</t>
        </is>
      </c>
      <c r="X135" t="inlineStr">
        <is>
          <t>1991-12-04</t>
        </is>
      </c>
      <c r="Y135" t="n">
        <v>157</v>
      </c>
      <c r="Z135" t="n">
        <v>147</v>
      </c>
      <c r="AA135" t="n">
        <v>351</v>
      </c>
      <c r="AB135" t="n">
        <v>2</v>
      </c>
      <c r="AC135" t="n">
        <v>6</v>
      </c>
      <c r="AD135" t="n">
        <v>4</v>
      </c>
      <c r="AE135" t="n">
        <v>19</v>
      </c>
      <c r="AF135" t="n">
        <v>1</v>
      </c>
      <c r="AG135" t="n">
        <v>8</v>
      </c>
      <c r="AH135" t="n">
        <v>1</v>
      </c>
      <c r="AI135" t="n">
        <v>2</v>
      </c>
      <c r="AJ135" t="n">
        <v>1</v>
      </c>
      <c r="AK135" t="n">
        <v>7</v>
      </c>
      <c r="AL135" t="n">
        <v>1</v>
      </c>
      <c r="AM135" t="n">
        <v>5</v>
      </c>
      <c r="AN135" t="n">
        <v>0</v>
      </c>
      <c r="AO135" t="n">
        <v>0</v>
      </c>
      <c r="AP135" t="inlineStr">
        <is>
          <t>Yes</t>
        </is>
      </c>
      <c r="AQ135" t="inlineStr">
        <is>
          <t>No</t>
        </is>
      </c>
      <c r="AR135">
        <f>HYPERLINK("http://catalog.hathitrust.org/Record/009774719","HathiTrust Record")</f>
        <v/>
      </c>
      <c r="AS135">
        <f>HYPERLINK("https://creighton-primo.hosted.exlibrisgroup.com/primo-explore/search?tab=default_tab&amp;search_scope=EVERYTHING&amp;vid=01CRU&amp;lang=en_US&amp;offset=0&amp;query=any,contains,991003018529702656","Catalog Record")</f>
        <v/>
      </c>
      <c r="AT135">
        <f>HYPERLINK("http://www.worldcat.org/oclc/583373","WorldCat Record")</f>
        <v/>
      </c>
      <c r="AU135" t="inlineStr">
        <is>
          <t>9463409373:eng</t>
        </is>
      </c>
      <c r="AV135" t="inlineStr">
        <is>
          <t>583373</t>
        </is>
      </c>
      <c r="AW135" t="inlineStr">
        <is>
          <t>991003018529702656</t>
        </is>
      </c>
      <c r="AX135" t="inlineStr">
        <is>
          <t>991003018529702656</t>
        </is>
      </c>
      <c r="AY135" t="inlineStr">
        <is>
          <t>2272232090002656</t>
        </is>
      </c>
      <c r="AZ135" t="inlineStr">
        <is>
          <t>BOOK</t>
        </is>
      </c>
      <c r="BC135" t="inlineStr">
        <is>
          <t>32285000844638</t>
        </is>
      </c>
      <c r="BD135" t="inlineStr">
        <is>
          <t>893440831</t>
        </is>
      </c>
    </row>
    <row r="136">
      <c r="A136" t="inlineStr">
        <is>
          <t>No</t>
        </is>
      </c>
      <c r="B136" t="inlineStr">
        <is>
          <t>PG3326 .P7 1967</t>
        </is>
      </c>
      <c r="C136" t="inlineStr">
        <is>
          <t>0                      PG 3326000P  7           1967</t>
        </is>
      </c>
      <c r="D136" t="inlineStr">
        <is>
          <t>The notebooks for Crime and punishment / [by] Fyodor Dostoevsky. Edited and translated by Edward Wasiolek.</t>
        </is>
      </c>
      <c r="F136" t="inlineStr">
        <is>
          <t>No</t>
        </is>
      </c>
      <c r="G136" t="inlineStr">
        <is>
          <t>1</t>
        </is>
      </c>
      <c r="H136" t="inlineStr">
        <is>
          <t>No</t>
        </is>
      </c>
      <c r="I136" t="inlineStr">
        <is>
          <t>No</t>
        </is>
      </c>
      <c r="J136" t="inlineStr">
        <is>
          <t>0</t>
        </is>
      </c>
      <c r="K136" t="inlineStr">
        <is>
          <t>Dostoyevsky, Fyodor, 1821-1881.</t>
        </is>
      </c>
      <c r="L136" t="inlineStr">
        <is>
          <t>Chicago : University of Chicago Press, [1967]</t>
        </is>
      </c>
      <c r="M136" t="inlineStr">
        <is>
          <t>1967</t>
        </is>
      </c>
      <c r="O136" t="inlineStr">
        <is>
          <t>eng</t>
        </is>
      </c>
      <c r="P136" t="inlineStr">
        <is>
          <t>ilu</t>
        </is>
      </c>
      <c r="R136" t="inlineStr">
        <is>
          <t xml:space="preserve">PG </t>
        </is>
      </c>
      <c r="S136" t="n">
        <v>5</v>
      </c>
      <c r="T136" t="n">
        <v>5</v>
      </c>
      <c r="U136" t="inlineStr">
        <is>
          <t>2006-09-09</t>
        </is>
      </c>
      <c r="V136" t="inlineStr">
        <is>
          <t>2006-09-09</t>
        </is>
      </c>
      <c r="W136" t="inlineStr">
        <is>
          <t>1992-01-14</t>
        </is>
      </c>
      <c r="X136" t="inlineStr">
        <is>
          <t>1992-01-14</t>
        </is>
      </c>
      <c r="Y136" t="n">
        <v>1246</v>
      </c>
      <c r="Z136" t="n">
        <v>1111</v>
      </c>
      <c r="AA136" t="n">
        <v>1305</v>
      </c>
      <c r="AB136" t="n">
        <v>10</v>
      </c>
      <c r="AC136" t="n">
        <v>11</v>
      </c>
      <c r="AD136" t="n">
        <v>47</v>
      </c>
      <c r="AE136" t="n">
        <v>55</v>
      </c>
      <c r="AF136" t="n">
        <v>18</v>
      </c>
      <c r="AG136" t="n">
        <v>21</v>
      </c>
      <c r="AH136" t="n">
        <v>10</v>
      </c>
      <c r="AI136" t="n">
        <v>11</v>
      </c>
      <c r="AJ136" t="n">
        <v>23</v>
      </c>
      <c r="AK136" t="n">
        <v>26</v>
      </c>
      <c r="AL136" t="n">
        <v>8</v>
      </c>
      <c r="AM136" t="n">
        <v>9</v>
      </c>
      <c r="AN136" t="n">
        <v>0</v>
      </c>
      <c r="AO136" t="n">
        <v>1</v>
      </c>
      <c r="AP136" t="inlineStr">
        <is>
          <t>No</t>
        </is>
      </c>
      <c r="AQ136" t="inlineStr">
        <is>
          <t>Yes</t>
        </is>
      </c>
      <c r="AR136">
        <f>HYPERLINK("http://catalog.hathitrust.org/Record/000980797","HathiTrust Record")</f>
        <v/>
      </c>
      <c r="AS136">
        <f>HYPERLINK("https://creighton-primo.hosted.exlibrisgroup.com/primo-explore/search?tab=default_tab&amp;search_scope=EVERYTHING&amp;vid=01CRU&amp;lang=en_US&amp;offset=0&amp;query=any,contains,991003232859702656","Catalog Record")</f>
        <v/>
      </c>
      <c r="AT136">
        <f>HYPERLINK("http://www.worldcat.org/oclc/757374","WorldCat Record")</f>
        <v/>
      </c>
      <c r="AU136" t="inlineStr">
        <is>
          <t>3763472140:eng</t>
        </is>
      </c>
      <c r="AV136" t="inlineStr">
        <is>
          <t>757374</t>
        </is>
      </c>
      <c r="AW136" t="inlineStr">
        <is>
          <t>991003232859702656</t>
        </is>
      </c>
      <c r="AX136" t="inlineStr">
        <is>
          <t>991003232859702656</t>
        </is>
      </c>
      <c r="AY136" t="inlineStr">
        <is>
          <t>2272408600002656</t>
        </is>
      </c>
      <c r="AZ136" t="inlineStr">
        <is>
          <t>BOOK</t>
        </is>
      </c>
      <c r="BC136" t="inlineStr">
        <is>
          <t>32285000912450</t>
        </is>
      </c>
      <c r="BD136" t="inlineStr">
        <is>
          <t>893805540</t>
        </is>
      </c>
    </row>
    <row r="137">
      <c r="A137" t="inlineStr">
        <is>
          <t>No</t>
        </is>
      </c>
      <c r="B137" t="inlineStr">
        <is>
          <t>PG3326 .Z34 1965</t>
        </is>
      </c>
      <c r="C137" t="inlineStr">
        <is>
          <t>0                      PG 3326000Z  34          1965</t>
        </is>
      </c>
      <c r="D137" t="inlineStr">
        <is>
          <t>Memoirs from The house of the dead [by] F. M. Dostoevsky. Translated with a pref. by Jessie Coulson.</t>
        </is>
      </c>
      <c r="F137" t="inlineStr">
        <is>
          <t>No</t>
        </is>
      </c>
      <c r="G137" t="inlineStr">
        <is>
          <t>1</t>
        </is>
      </c>
      <c r="H137" t="inlineStr">
        <is>
          <t>No</t>
        </is>
      </c>
      <c r="I137" t="inlineStr">
        <is>
          <t>Yes</t>
        </is>
      </c>
      <c r="J137" t="inlineStr">
        <is>
          <t>0</t>
        </is>
      </c>
      <c r="K137" t="inlineStr">
        <is>
          <t>Dostoyevsky, Fyodor, 1821-1881.</t>
        </is>
      </c>
      <c r="L137" t="inlineStr">
        <is>
          <t>London, New York, Oxford University Press, 1965.</t>
        </is>
      </c>
      <c r="M137" t="inlineStr">
        <is>
          <t>1965</t>
        </is>
      </c>
      <c r="O137" t="inlineStr">
        <is>
          <t>eng</t>
        </is>
      </c>
      <c r="P137" t="inlineStr">
        <is>
          <t>enk</t>
        </is>
      </c>
      <c r="Q137" t="inlineStr">
        <is>
          <t>The World's classics, 597</t>
        </is>
      </c>
      <c r="R137" t="inlineStr">
        <is>
          <t xml:space="preserve">PG </t>
        </is>
      </c>
      <c r="S137" t="n">
        <v>7</v>
      </c>
      <c r="T137" t="n">
        <v>7</v>
      </c>
      <c r="U137" t="inlineStr">
        <is>
          <t>2007-05-03</t>
        </is>
      </c>
      <c r="V137" t="inlineStr">
        <is>
          <t>2007-05-03</t>
        </is>
      </c>
      <c r="W137" t="inlineStr">
        <is>
          <t>1997-10-02</t>
        </is>
      </c>
      <c r="X137" t="inlineStr">
        <is>
          <t>1997-10-02</t>
        </is>
      </c>
      <c r="Y137" t="n">
        <v>368</v>
      </c>
      <c r="Z137" t="n">
        <v>316</v>
      </c>
      <c r="AA137" t="n">
        <v>2139</v>
      </c>
      <c r="AB137" t="n">
        <v>4</v>
      </c>
      <c r="AC137" t="n">
        <v>14</v>
      </c>
      <c r="AD137" t="n">
        <v>13</v>
      </c>
      <c r="AE137" t="n">
        <v>54</v>
      </c>
      <c r="AF137" t="n">
        <v>3</v>
      </c>
      <c r="AG137" t="n">
        <v>25</v>
      </c>
      <c r="AH137" t="n">
        <v>5</v>
      </c>
      <c r="AI137" t="n">
        <v>10</v>
      </c>
      <c r="AJ137" t="n">
        <v>5</v>
      </c>
      <c r="AK137" t="n">
        <v>22</v>
      </c>
      <c r="AL137" t="n">
        <v>2</v>
      </c>
      <c r="AM137" t="n">
        <v>9</v>
      </c>
      <c r="AN137" t="n">
        <v>0</v>
      </c>
      <c r="AO137" t="n">
        <v>0</v>
      </c>
      <c r="AP137" t="inlineStr">
        <is>
          <t>No</t>
        </is>
      </c>
      <c r="AQ137" t="inlineStr">
        <is>
          <t>Yes</t>
        </is>
      </c>
      <c r="AR137">
        <f>HYPERLINK("http://catalog.hathitrust.org/Record/004424020","HathiTrust Record")</f>
        <v/>
      </c>
      <c r="AS137">
        <f>HYPERLINK("https://creighton-primo.hosted.exlibrisgroup.com/primo-explore/search?tab=default_tab&amp;search_scope=EVERYTHING&amp;vid=01CRU&amp;lang=en_US&amp;offset=0&amp;query=any,contains,991002312229702656","Catalog Record")</f>
        <v/>
      </c>
      <c r="AT137">
        <f>HYPERLINK("http://www.worldcat.org/oclc/319683","WorldCat Record")</f>
        <v/>
      </c>
      <c r="AU137" t="inlineStr">
        <is>
          <t>2558932685:eng</t>
        </is>
      </c>
      <c r="AV137" t="inlineStr">
        <is>
          <t>319683</t>
        </is>
      </c>
      <c r="AW137" t="inlineStr">
        <is>
          <t>991002312229702656</t>
        </is>
      </c>
      <c r="AX137" t="inlineStr">
        <is>
          <t>991002312229702656</t>
        </is>
      </c>
      <c r="AY137" t="inlineStr">
        <is>
          <t>2268225290002656</t>
        </is>
      </c>
      <c r="AZ137" t="inlineStr">
        <is>
          <t>BOOK</t>
        </is>
      </c>
      <c r="BC137" t="inlineStr">
        <is>
          <t>32285003239406</t>
        </is>
      </c>
      <c r="BD137" t="inlineStr">
        <is>
          <t>893804456</t>
        </is>
      </c>
    </row>
    <row r="138">
      <c r="A138" t="inlineStr">
        <is>
          <t>No</t>
        </is>
      </c>
      <c r="B138" t="inlineStr">
        <is>
          <t>PG3326.A15 H6</t>
        </is>
      </c>
      <c r="C138" t="inlineStr">
        <is>
          <t>0                      PG 3326000A  15                 H  6</t>
        </is>
      </c>
      <c r="D138" t="inlineStr">
        <is>
          <t>An honest thief, and other stories / Fyodor Dostoevsky ; translated from the Russian by Constance Garnett.</t>
        </is>
      </c>
      <c r="F138" t="inlineStr">
        <is>
          <t>No</t>
        </is>
      </c>
      <c r="G138" t="inlineStr">
        <is>
          <t>1</t>
        </is>
      </c>
      <c r="H138" t="inlineStr">
        <is>
          <t>No</t>
        </is>
      </c>
      <c r="I138" t="inlineStr">
        <is>
          <t>No</t>
        </is>
      </c>
      <c r="J138" t="inlineStr">
        <is>
          <t>0</t>
        </is>
      </c>
      <c r="K138" t="inlineStr">
        <is>
          <t>Dostoyevsky, Fyodor, 1821-1881.</t>
        </is>
      </c>
      <c r="L138" t="inlineStr">
        <is>
          <t>Westport, Conn. : Greenwood Press, 1975.</t>
        </is>
      </c>
      <c r="M138" t="inlineStr">
        <is>
          <t>1975</t>
        </is>
      </c>
      <c r="O138" t="inlineStr">
        <is>
          <t>eng</t>
        </is>
      </c>
      <c r="P138" t="inlineStr">
        <is>
          <t>ctu</t>
        </is>
      </c>
      <c r="R138" t="inlineStr">
        <is>
          <t xml:space="preserve">PG </t>
        </is>
      </c>
      <c r="S138" t="n">
        <v>4</v>
      </c>
      <c r="T138" t="n">
        <v>4</v>
      </c>
      <c r="U138" t="inlineStr">
        <is>
          <t>2010-05-29</t>
        </is>
      </c>
      <c r="V138" t="inlineStr">
        <is>
          <t>2010-05-29</t>
        </is>
      </c>
      <c r="W138" t="inlineStr">
        <is>
          <t>1997-10-02</t>
        </is>
      </c>
      <c r="X138" t="inlineStr">
        <is>
          <t>1997-10-02</t>
        </is>
      </c>
      <c r="Y138" t="n">
        <v>160</v>
      </c>
      <c r="Z138" t="n">
        <v>142</v>
      </c>
      <c r="AA138" t="n">
        <v>586</v>
      </c>
      <c r="AB138" t="n">
        <v>3</v>
      </c>
      <c r="AC138" t="n">
        <v>5</v>
      </c>
      <c r="AD138" t="n">
        <v>2</v>
      </c>
      <c r="AE138" t="n">
        <v>21</v>
      </c>
      <c r="AF138" t="n">
        <v>1</v>
      </c>
      <c r="AG138" t="n">
        <v>5</v>
      </c>
      <c r="AH138" t="n">
        <v>1</v>
      </c>
      <c r="AI138" t="n">
        <v>6</v>
      </c>
      <c r="AJ138" t="n">
        <v>0</v>
      </c>
      <c r="AK138" t="n">
        <v>11</v>
      </c>
      <c r="AL138" t="n">
        <v>1</v>
      </c>
      <c r="AM138" t="n">
        <v>3</v>
      </c>
      <c r="AN138" t="n">
        <v>0</v>
      </c>
      <c r="AO138" t="n">
        <v>0</v>
      </c>
      <c r="AP138" t="inlineStr">
        <is>
          <t>No</t>
        </is>
      </c>
      <c r="AQ138" t="inlineStr">
        <is>
          <t>No</t>
        </is>
      </c>
      <c r="AS138">
        <f>HYPERLINK("https://creighton-primo.hosted.exlibrisgroup.com/primo-explore/search?tab=default_tab&amp;search_scope=EVERYTHING&amp;vid=01CRU&amp;lang=en_US&amp;offset=0&amp;query=any,contains,991004388999702656","Catalog Record")</f>
        <v/>
      </c>
      <c r="AT138">
        <f>HYPERLINK("http://www.worldcat.org/oclc/3255463","WorldCat Record")</f>
        <v/>
      </c>
      <c r="AU138" t="inlineStr">
        <is>
          <t>198197653:eng</t>
        </is>
      </c>
      <c r="AV138" t="inlineStr">
        <is>
          <t>3255463</t>
        </is>
      </c>
      <c r="AW138" t="inlineStr">
        <is>
          <t>991004388999702656</t>
        </is>
      </c>
      <c r="AX138" t="inlineStr">
        <is>
          <t>991004388999702656</t>
        </is>
      </c>
      <c r="AY138" t="inlineStr">
        <is>
          <t>2272362690002656</t>
        </is>
      </c>
      <c r="AZ138" t="inlineStr">
        <is>
          <t>BOOK</t>
        </is>
      </c>
      <c r="BB138" t="inlineStr">
        <is>
          <t>9780837178073</t>
        </is>
      </c>
      <c r="BC138" t="inlineStr">
        <is>
          <t>32285003239372</t>
        </is>
      </c>
      <c r="BD138" t="inlineStr">
        <is>
          <t>893229301</t>
        </is>
      </c>
    </row>
    <row r="139">
      <c r="A139" t="inlineStr">
        <is>
          <t>No</t>
        </is>
      </c>
      <c r="B139" t="inlineStr">
        <is>
          <t>PG3326.A15 M3 1961</t>
        </is>
      </c>
      <c r="C139" t="inlineStr">
        <is>
          <t>0                      PG 3326000A  15                 M  3           1961</t>
        </is>
      </c>
      <c r="D139" t="inlineStr">
        <is>
          <t>Notes from underground, White nights, the Dream of a ridiculous man, and selections from The House of the dead / Dostoyevsky. A new translation with an afterword by Andrew R. MacAndrew.</t>
        </is>
      </c>
      <c r="F139" t="inlineStr">
        <is>
          <t>No</t>
        </is>
      </c>
      <c r="G139" t="inlineStr">
        <is>
          <t>1</t>
        </is>
      </c>
      <c r="H139" t="inlineStr">
        <is>
          <t>No</t>
        </is>
      </c>
      <c r="I139" t="inlineStr">
        <is>
          <t>No</t>
        </is>
      </c>
      <c r="J139" t="inlineStr">
        <is>
          <t>0</t>
        </is>
      </c>
      <c r="K139" t="inlineStr">
        <is>
          <t>Dostoyevsky, Fyodor, 1821-1881.</t>
        </is>
      </c>
      <c r="L139" t="inlineStr">
        <is>
          <t>[New York] : New American Library, [1961]</t>
        </is>
      </c>
      <c r="M139" t="inlineStr">
        <is>
          <t>1961</t>
        </is>
      </c>
      <c r="O139" t="inlineStr">
        <is>
          <t>eng</t>
        </is>
      </c>
      <c r="P139" t="inlineStr">
        <is>
          <t xml:space="preserve">xx </t>
        </is>
      </c>
      <c r="Q139" t="inlineStr">
        <is>
          <t>A Signet classic</t>
        </is>
      </c>
      <c r="R139" t="inlineStr">
        <is>
          <t xml:space="preserve">PG </t>
        </is>
      </c>
      <c r="S139" t="n">
        <v>19</v>
      </c>
      <c r="T139" t="n">
        <v>19</v>
      </c>
      <c r="U139" t="inlineStr">
        <is>
          <t>2010-12-17</t>
        </is>
      </c>
      <c r="V139" t="inlineStr">
        <is>
          <t>2010-12-17</t>
        </is>
      </c>
      <c r="W139" t="inlineStr">
        <is>
          <t>1990-03-29</t>
        </is>
      </c>
      <c r="X139" t="inlineStr">
        <is>
          <t>1990-03-29</t>
        </is>
      </c>
      <c r="Y139" t="n">
        <v>424</v>
      </c>
      <c r="Z139" t="n">
        <v>381</v>
      </c>
      <c r="AA139" t="n">
        <v>620</v>
      </c>
      <c r="AB139" t="n">
        <v>1</v>
      </c>
      <c r="AC139" t="n">
        <v>1</v>
      </c>
      <c r="AD139" t="n">
        <v>6</v>
      </c>
      <c r="AE139" t="n">
        <v>10</v>
      </c>
      <c r="AF139" t="n">
        <v>3</v>
      </c>
      <c r="AG139" t="n">
        <v>5</v>
      </c>
      <c r="AH139" t="n">
        <v>0</v>
      </c>
      <c r="AI139" t="n">
        <v>2</v>
      </c>
      <c r="AJ139" t="n">
        <v>5</v>
      </c>
      <c r="AK139" t="n">
        <v>6</v>
      </c>
      <c r="AL139" t="n">
        <v>0</v>
      </c>
      <c r="AM139" t="n">
        <v>0</v>
      </c>
      <c r="AN139" t="n">
        <v>0</v>
      </c>
      <c r="AO139" t="n">
        <v>0</v>
      </c>
      <c r="AP139" t="inlineStr">
        <is>
          <t>No</t>
        </is>
      </c>
      <c r="AQ139" t="inlineStr">
        <is>
          <t>Yes</t>
        </is>
      </c>
      <c r="AR139">
        <f>HYPERLINK("http://catalog.hathitrust.org/Record/003569660","HathiTrust Record")</f>
        <v/>
      </c>
      <c r="AS139">
        <f>HYPERLINK("https://creighton-primo.hosted.exlibrisgroup.com/primo-explore/search?tab=default_tab&amp;search_scope=EVERYTHING&amp;vid=01CRU&amp;lang=en_US&amp;offset=0&amp;query=any,contains,991002876099702656","Catalog Record")</f>
        <v/>
      </c>
      <c r="AT139">
        <f>HYPERLINK("http://www.worldcat.org/oclc/502924","WorldCat Record")</f>
        <v/>
      </c>
      <c r="AU139" t="inlineStr">
        <is>
          <t>3943816306:eng</t>
        </is>
      </c>
      <c r="AV139" t="inlineStr">
        <is>
          <t>502924</t>
        </is>
      </c>
      <c r="AW139" t="inlineStr">
        <is>
          <t>991002876099702656</t>
        </is>
      </c>
      <c r="AX139" t="inlineStr">
        <is>
          <t>991002876099702656</t>
        </is>
      </c>
      <c r="AY139" t="inlineStr">
        <is>
          <t>2263977910002656</t>
        </is>
      </c>
      <c r="AZ139" t="inlineStr">
        <is>
          <t>BOOK</t>
        </is>
      </c>
      <c r="BC139" t="inlineStr">
        <is>
          <t>32285000105477</t>
        </is>
      </c>
      <c r="BD139" t="inlineStr">
        <is>
          <t>893774137</t>
        </is>
      </c>
    </row>
    <row r="140">
      <c r="A140" t="inlineStr">
        <is>
          <t>No</t>
        </is>
      </c>
      <c r="B140" t="inlineStr">
        <is>
          <t>PG3326.A15 S7</t>
        </is>
      </c>
      <c r="C140" t="inlineStr">
        <is>
          <t>0                      PG 3326000A  15                 S  7</t>
        </is>
      </c>
      <c r="D140" t="inlineStr">
        <is>
          <t>Stories / Fyodor Dostoyevsky ; [translated from the Russian ; illustrated by Andrei Goncharov].</t>
        </is>
      </c>
      <c r="F140" t="inlineStr">
        <is>
          <t>No</t>
        </is>
      </c>
      <c r="G140" t="inlineStr">
        <is>
          <t>1</t>
        </is>
      </c>
      <c r="H140" t="inlineStr">
        <is>
          <t>No</t>
        </is>
      </c>
      <c r="I140" t="inlineStr">
        <is>
          <t>No</t>
        </is>
      </c>
      <c r="J140" t="inlineStr">
        <is>
          <t>0</t>
        </is>
      </c>
      <c r="K140" t="inlineStr">
        <is>
          <t>Dostoyevsky, Fyodor, 1821-1881.</t>
        </is>
      </c>
      <c r="L140" t="inlineStr">
        <is>
          <t>Moscow : Progress Publishers, 1971, 1977 printing.</t>
        </is>
      </c>
      <c r="M140" t="inlineStr">
        <is>
          <t>1971</t>
        </is>
      </c>
      <c r="O140" t="inlineStr">
        <is>
          <t>eng</t>
        </is>
      </c>
      <c r="P140" t="inlineStr">
        <is>
          <t>rur</t>
        </is>
      </c>
      <c r="Q140" t="inlineStr">
        <is>
          <t>Russian classics series</t>
        </is>
      </c>
      <c r="R140" t="inlineStr">
        <is>
          <t xml:space="preserve">PG </t>
        </is>
      </c>
      <c r="S140" t="n">
        <v>2</v>
      </c>
      <c r="T140" t="n">
        <v>2</v>
      </c>
      <c r="U140" t="inlineStr">
        <is>
          <t>2003-01-27</t>
        </is>
      </c>
      <c r="V140" t="inlineStr">
        <is>
          <t>2003-01-27</t>
        </is>
      </c>
      <c r="W140" t="inlineStr">
        <is>
          <t>1992-01-14</t>
        </is>
      </c>
      <c r="X140" t="inlineStr">
        <is>
          <t>1992-01-14</t>
        </is>
      </c>
      <c r="Y140" t="n">
        <v>46</v>
      </c>
      <c r="Z140" t="n">
        <v>28</v>
      </c>
      <c r="AA140" t="n">
        <v>143</v>
      </c>
      <c r="AB140" t="n">
        <v>2</v>
      </c>
      <c r="AC140" t="n">
        <v>2</v>
      </c>
      <c r="AD140" t="n">
        <v>1</v>
      </c>
      <c r="AE140" t="n">
        <v>4</v>
      </c>
      <c r="AF140" t="n">
        <v>0</v>
      </c>
      <c r="AG140" t="n">
        <v>2</v>
      </c>
      <c r="AH140" t="n">
        <v>0</v>
      </c>
      <c r="AI140" t="n">
        <v>1</v>
      </c>
      <c r="AJ140" t="n">
        <v>0</v>
      </c>
      <c r="AK140" t="n">
        <v>2</v>
      </c>
      <c r="AL140" t="n">
        <v>1</v>
      </c>
      <c r="AM140" t="n">
        <v>1</v>
      </c>
      <c r="AN140" t="n">
        <v>0</v>
      </c>
      <c r="AO140" t="n">
        <v>0</v>
      </c>
      <c r="AP140" t="inlineStr">
        <is>
          <t>No</t>
        </is>
      </c>
      <c r="AQ140" t="inlineStr">
        <is>
          <t>No</t>
        </is>
      </c>
      <c r="AS140">
        <f>HYPERLINK("https://creighton-primo.hosted.exlibrisgroup.com/primo-explore/search?tab=default_tab&amp;search_scope=EVERYTHING&amp;vid=01CRU&amp;lang=en_US&amp;offset=0&amp;query=any,contains,991004002389702656","Catalog Record")</f>
        <v/>
      </c>
      <c r="AT140">
        <f>HYPERLINK("http://www.worldcat.org/oclc/2074466","WorldCat Record")</f>
        <v/>
      </c>
      <c r="AU140" t="inlineStr">
        <is>
          <t>2908521177:eng</t>
        </is>
      </c>
      <c r="AV140" t="inlineStr">
        <is>
          <t>2074466</t>
        </is>
      </c>
      <c r="AW140" t="inlineStr">
        <is>
          <t>991004002389702656</t>
        </is>
      </c>
      <c r="AX140" t="inlineStr">
        <is>
          <t>991004002389702656</t>
        </is>
      </c>
      <c r="AY140" t="inlineStr">
        <is>
          <t>2263892480002656</t>
        </is>
      </c>
      <c r="AZ140" t="inlineStr">
        <is>
          <t>BOOK</t>
        </is>
      </c>
      <c r="BC140" t="inlineStr">
        <is>
          <t>32285000897560</t>
        </is>
      </c>
      <c r="BD140" t="inlineStr">
        <is>
          <t>893894459</t>
        </is>
      </c>
    </row>
    <row r="141">
      <c r="A141" t="inlineStr">
        <is>
          <t>No</t>
        </is>
      </c>
      <c r="B141" t="inlineStr">
        <is>
          <t>PG3326.Z3 G3</t>
        </is>
      </c>
      <c r="C141" t="inlineStr">
        <is>
          <t>0                      PG 3326000Z  3                  G  3</t>
        </is>
      </c>
      <c r="D141" t="inlineStr">
        <is>
          <t>The house of the dead; a novel in two parts by Fyodor Dostoevsky, from the Russian by Constance Garnett.</t>
        </is>
      </c>
      <c r="F141" t="inlineStr">
        <is>
          <t>No</t>
        </is>
      </c>
      <c r="G141" t="inlineStr">
        <is>
          <t>1</t>
        </is>
      </c>
      <c r="H141" t="inlineStr">
        <is>
          <t>No</t>
        </is>
      </c>
      <c r="I141" t="inlineStr">
        <is>
          <t>Yes</t>
        </is>
      </c>
      <c r="J141" t="inlineStr">
        <is>
          <t>0</t>
        </is>
      </c>
      <c r="K141" t="inlineStr">
        <is>
          <t>Dostoyevsky, Fyodor, 1821-1881.</t>
        </is>
      </c>
      <c r="L141" t="inlineStr">
        <is>
          <t>New York, The Macmillan Company, 1915.</t>
        </is>
      </c>
      <c r="M141" t="inlineStr">
        <is>
          <t>1915</t>
        </is>
      </c>
      <c r="O141" t="inlineStr">
        <is>
          <t>eng</t>
        </is>
      </c>
      <c r="P141" t="inlineStr">
        <is>
          <t>nyu</t>
        </is>
      </c>
      <c r="Q141" t="inlineStr">
        <is>
          <t>The novels of Fyodor Dostoevsky, vol. 5</t>
        </is>
      </c>
      <c r="R141" t="inlineStr">
        <is>
          <t xml:space="preserve">PG </t>
        </is>
      </c>
      <c r="S141" t="n">
        <v>1</v>
      </c>
      <c r="T141" t="n">
        <v>1</v>
      </c>
      <c r="U141" t="inlineStr">
        <is>
          <t>2001-09-04</t>
        </is>
      </c>
      <c r="V141" t="inlineStr">
        <is>
          <t>2001-09-04</t>
        </is>
      </c>
      <c r="W141" t="inlineStr">
        <is>
          <t>1997-10-02</t>
        </is>
      </c>
      <c r="X141" t="inlineStr">
        <is>
          <t>1997-10-02</t>
        </is>
      </c>
      <c r="Y141" t="n">
        <v>118</v>
      </c>
      <c r="Z141" t="n">
        <v>112</v>
      </c>
      <c r="AA141" t="n">
        <v>2139</v>
      </c>
      <c r="AB141" t="n">
        <v>2</v>
      </c>
      <c r="AC141" t="n">
        <v>14</v>
      </c>
      <c r="AD141" t="n">
        <v>5</v>
      </c>
      <c r="AE141" t="n">
        <v>54</v>
      </c>
      <c r="AF141" t="n">
        <v>0</v>
      </c>
      <c r="AG141" t="n">
        <v>25</v>
      </c>
      <c r="AH141" t="n">
        <v>2</v>
      </c>
      <c r="AI141" t="n">
        <v>10</v>
      </c>
      <c r="AJ141" t="n">
        <v>2</v>
      </c>
      <c r="AK141" t="n">
        <v>22</v>
      </c>
      <c r="AL141" t="n">
        <v>1</v>
      </c>
      <c r="AM141" t="n">
        <v>9</v>
      </c>
      <c r="AN141" t="n">
        <v>0</v>
      </c>
      <c r="AO141" t="n">
        <v>0</v>
      </c>
      <c r="AP141" t="inlineStr">
        <is>
          <t>Yes</t>
        </is>
      </c>
      <c r="AQ141" t="inlineStr">
        <is>
          <t>No</t>
        </is>
      </c>
      <c r="AR141">
        <f>HYPERLINK("http://catalog.hathitrust.org/Record/001224414","HathiTrust Record")</f>
        <v/>
      </c>
      <c r="AS141">
        <f>HYPERLINK("https://creighton-primo.hosted.exlibrisgroup.com/primo-explore/search?tab=default_tab&amp;search_scope=EVERYTHING&amp;vid=01CRU&amp;lang=en_US&amp;offset=0&amp;query=any,contains,991004029099702656","Catalog Record")</f>
        <v/>
      </c>
      <c r="AT141">
        <f>HYPERLINK("http://www.worldcat.org/oclc/2147163","WorldCat Record")</f>
        <v/>
      </c>
      <c r="AU141" t="inlineStr">
        <is>
          <t>2558932685:eng</t>
        </is>
      </c>
      <c r="AV141" t="inlineStr">
        <is>
          <t>2147163</t>
        </is>
      </c>
      <c r="AW141" t="inlineStr">
        <is>
          <t>991004029099702656</t>
        </is>
      </c>
      <c r="AX141" t="inlineStr">
        <is>
          <t>991004029099702656</t>
        </is>
      </c>
      <c r="AY141" t="inlineStr">
        <is>
          <t>2270968380002656</t>
        </is>
      </c>
      <c r="AZ141" t="inlineStr">
        <is>
          <t>BOOK</t>
        </is>
      </c>
      <c r="BC141" t="inlineStr">
        <is>
          <t>32285003239398</t>
        </is>
      </c>
      <c r="BD141" t="inlineStr">
        <is>
          <t>893624262</t>
        </is>
      </c>
    </row>
    <row r="142">
      <c r="A142" t="inlineStr">
        <is>
          <t>No</t>
        </is>
      </c>
      <c r="B142" t="inlineStr">
        <is>
          <t>PG3328 .A795 1993</t>
        </is>
      </c>
      <c r="C142" t="inlineStr">
        <is>
          <t>0                      PG 3328000A  795         1993</t>
        </is>
      </c>
      <c r="D142" t="inlineStr">
        <is>
          <t>Feodor Dostoevsky / Alba Amoia.</t>
        </is>
      </c>
      <c r="F142" t="inlineStr">
        <is>
          <t>No</t>
        </is>
      </c>
      <c r="G142" t="inlineStr">
        <is>
          <t>1</t>
        </is>
      </c>
      <c r="H142" t="inlineStr">
        <is>
          <t>No</t>
        </is>
      </c>
      <c r="I142" t="inlineStr">
        <is>
          <t>No</t>
        </is>
      </c>
      <c r="J142" t="inlineStr">
        <is>
          <t>0</t>
        </is>
      </c>
      <c r="K142" t="inlineStr">
        <is>
          <t>Amoia, Alba della Fazia.</t>
        </is>
      </c>
      <c r="L142" t="inlineStr">
        <is>
          <t>New York : Continuum, 1993.</t>
        </is>
      </c>
      <c r="M142" t="inlineStr">
        <is>
          <t>1993</t>
        </is>
      </c>
      <c r="O142" t="inlineStr">
        <is>
          <t>eng</t>
        </is>
      </c>
      <c r="P142" t="inlineStr">
        <is>
          <t>nyu</t>
        </is>
      </c>
      <c r="Q142" t="inlineStr">
        <is>
          <t>Literature and life. World writers</t>
        </is>
      </c>
      <c r="R142" t="inlineStr">
        <is>
          <t xml:space="preserve">PG </t>
        </is>
      </c>
      <c r="S142" t="n">
        <v>10</v>
      </c>
      <c r="T142" t="n">
        <v>10</v>
      </c>
      <c r="U142" t="inlineStr">
        <is>
          <t>2003-09-29</t>
        </is>
      </c>
      <c r="V142" t="inlineStr">
        <is>
          <t>2003-09-29</t>
        </is>
      </c>
      <c r="W142" t="inlineStr">
        <is>
          <t>1993-08-03</t>
        </is>
      </c>
      <c r="X142" t="inlineStr">
        <is>
          <t>1993-08-03</t>
        </is>
      </c>
      <c r="Y142" t="n">
        <v>555</v>
      </c>
      <c r="Z142" t="n">
        <v>510</v>
      </c>
      <c r="AA142" t="n">
        <v>517</v>
      </c>
      <c r="AB142" t="n">
        <v>6</v>
      </c>
      <c r="AC142" t="n">
        <v>6</v>
      </c>
      <c r="AD142" t="n">
        <v>28</v>
      </c>
      <c r="AE142" t="n">
        <v>28</v>
      </c>
      <c r="AF142" t="n">
        <v>10</v>
      </c>
      <c r="AG142" t="n">
        <v>10</v>
      </c>
      <c r="AH142" t="n">
        <v>7</v>
      </c>
      <c r="AI142" t="n">
        <v>7</v>
      </c>
      <c r="AJ142" t="n">
        <v>13</v>
      </c>
      <c r="AK142" t="n">
        <v>13</v>
      </c>
      <c r="AL142" t="n">
        <v>4</v>
      </c>
      <c r="AM142" t="n">
        <v>4</v>
      </c>
      <c r="AN142" t="n">
        <v>0</v>
      </c>
      <c r="AO142" t="n">
        <v>0</v>
      </c>
      <c r="AP142" t="inlineStr">
        <is>
          <t>No</t>
        </is>
      </c>
      <c r="AQ142" t="inlineStr">
        <is>
          <t>Yes</t>
        </is>
      </c>
      <c r="AR142">
        <f>HYPERLINK("http://catalog.hathitrust.org/Record/002719882","HathiTrust Record")</f>
        <v/>
      </c>
      <c r="AS142">
        <f>HYPERLINK("https://creighton-primo.hosted.exlibrisgroup.com/primo-explore/search?tab=default_tab&amp;search_scope=EVERYTHING&amp;vid=01CRU&amp;lang=en_US&amp;offset=0&amp;query=any,contains,991002108699702656","Catalog Record")</f>
        <v/>
      </c>
      <c r="AT142">
        <f>HYPERLINK("http://www.worldcat.org/oclc/27035152","WorldCat Record")</f>
        <v/>
      </c>
      <c r="AU142" t="inlineStr">
        <is>
          <t>29765987:eng</t>
        </is>
      </c>
      <c r="AV142" t="inlineStr">
        <is>
          <t>27035152</t>
        </is>
      </c>
      <c r="AW142" t="inlineStr">
        <is>
          <t>991002108699702656</t>
        </is>
      </c>
      <c r="AX142" t="inlineStr">
        <is>
          <t>991002108699702656</t>
        </is>
      </c>
      <c r="AY142" t="inlineStr">
        <is>
          <t>2270297320002656</t>
        </is>
      </c>
      <c r="AZ142" t="inlineStr">
        <is>
          <t>BOOK</t>
        </is>
      </c>
      <c r="BB142" t="inlineStr">
        <is>
          <t>9780826405630</t>
        </is>
      </c>
      <c r="BC142" t="inlineStr">
        <is>
          <t>32285001704609</t>
        </is>
      </c>
      <c r="BD142" t="inlineStr">
        <is>
          <t>893226473</t>
        </is>
      </c>
    </row>
    <row r="143">
      <c r="A143" t="inlineStr">
        <is>
          <t>No</t>
        </is>
      </c>
      <c r="B143" t="inlineStr">
        <is>
          <t>PG3328 .B42 1957</t>
        </is>
      </c>
      <c r="C143" t="inlineStr">
        <is>
          <t>0                      PG 3328000B  42          1957</t>
        </is>
      </c>
      <c r="D143" t="inlineStr">
        <is>
          <t>Dostoevsky / translated by Donald Attwater.</t>
        </is>
      </c>
      <c r="F143" t="inlineStr">
        <is>
          <t>No</t>
        </is>
      </c>
      <c r="G143" t="inlineStr">
        <is>
          <t>1</t>
        </is>
      </c>
      <c r="H143" t="inlineStr">
        <is>
          <t>Yes</t>
        </is>
      </c>
      <c r="I143" t="inlineStr">
        <is>
          <t>Yes</t>
        </is>
      </c>
      <c r="J143" t="inlineStr">
        <is>
          <t>0</t>
        </is>
      </c>
      <c r="K143" t="inlineStr">
        <is>
          <t>Berdi︠a︡ev, Nikolaĭ, 1874-1948.</t>
        </is>
      </c>
      <c r="L143" t="inlineStr">
        <is>
          <t>New York : Meridian Books ; World Publ. Co., 1957.</t>
        </is>
      </c>
      <c r="M143" t="inlineStr">
        <is>
          <t>1957</t>
        </is>
      </c>
      <c r="O143" t="inlineStr">
        <is>
          <t>eng</t>
        </is>
      </c>
      <c r="P143" t="inlineStr">
        <is>
          <t>nyu</t>
        </is>
      </c>
      <c r="Q143" t="inlineStr">
        <is>
          <t>Living age books, LA15</t>
        </is>
      </c>
      <c r="R143" t="inlineStr">
        <is>
          <t xml:space="preserve">PG </t>
        </is>
      </c>
      <c r="S143" t="n">
        <v>6</v>
      </c>
      <c r="T143" t="n">
        <v>9</v>
      </c>
      <c r="U143" t="inlineStr">
        <is>
          <t>2000-08-25</t>
        </is>
      </c>
      <c r="V143" t="inlineStr">
        <is>
          <t>2006-07-07</t>
        </is>
      </c>
      <c r="W143" t="inlineStr">
        <is>
          <t>1993-08-13</t>
        </is>
      </c>
      <c r="X143" t="inlineStr">
        <is>
          <t>1993-08-13</t>
        </is>
      </c>
      <c r="Y143" t="n">
        <v>693</v>
      </c>
      <c r="Z143" t="n">
        <v>632</v>
      </c>
      <c r="AA143" t="n">
        <v>901</v>
      </c>
      <c r="AB143" t="n">
        <v>4</v>
      </c>
      <c r="AC143" t="n">
        <v>5</v>
      </c>
      <c r="AD143" t="n">
        <v>28</v>
      </c>
      <c r="AE143" t="n">
        <v>41</v>
      </c>
      <c r="AF143" t="n">
        <v>8</v>
      </c>
      <c r="AG143" t="n">
        <v>16</v>
      </c>
      <c r="AH143" t="n">
        <v>5</v>
      </c>
      <c r="AI143" t="n">
        <v>7</v>
      </c>
      <c r="AJ143" t="n">
        <v>14</v>
      </c>
      <c r="AK143" t="n">
        <v>21</v>
      </c>
      <c r="AL143" t="n">
        <v>3</v>
      </c>
      <c r="AM143" t="n">
        <v>4</v>
      </c>
      <c r="AN143" t="n">
        <v>0</v>
      </c>
      <c r="AO143" t="n">
        <v>0</v>
      </c>
      <c r="AP143" t="inlineStr">
        <is>
          <t>No</t>
        </is>
      </c>
      <c r="AQ143" t="inlineStr">
        <is>
          <t>No</t>
        </is>
      </c>
      <c r="AR143">
        <f>HYPERLINK("http://catalog.hathitrust.org/Record/000965997","HathiTrust Record")</f>
        <v/>
      </c>
      <c r="AS143">
        <f>HYPERLINK("https://creighton-primo.hosted.exlibrisgroup.com/primo-explore/search?tab=default_tab&amp;search_scope=EVERYTHING&amp;vid=01CRU&amp;lang=en_US&amp;offset=0&amp;query=any,contains,991005353509702656","Catalog Record")</f>
        <v/>
      </c>
      <c r="AT143">
        <f>HYPERLINK("http://www.worldcat.org/oclc/170612","WorldCat Record")</f>
        <v/>
      </c>
      <c r="AU143" t="inlineStr">
        <is>
          <t>4575216500:eng</t>
        </is>
      </c>
      <c r="AV143" t="inlineStr">
        <is>
          <t>170612</t>
        </is>
      </c>
      <c r="AW143" t="inlineStr">
        <is>
          <t>991005353509702656</t>
        </is>
      </c>
      <c r="AX143" t="inlineStr">
        <is>
          <t>991005353509702656</t>
        </is>
      </c>
      <c r="AY143" t="inlineStr">
        <is>
          <t>2269241750002656</t>
        </is>
      </c>
      <c r="AZ143" t="inlineStr">
        <is>
          <t>BOOK</t>
        </is>
      </c>
      <c r="BC143" t="inlineStr">
        <is>
          <t>32285001727287</t>
        </is>
      </c>
      <c r="BD143" t="inlineStr">
        <is>
          <t>893796019</t>
        </is>
      </c>
    </row>
    <row r="144">
      <c r="A144" t="inlineStr">
        <is>
          <t>No</t>
        </is>
      </c>
      <c r="B144" t="inlineStr">
        <is>
          <t>PG3328 .B42 1957</t>
        </is>
      </c>
      <c r="C144" t="inlineStr">
        <is>
          <t>0                      PG 3328000B  42          1957</t>
        </is>
      </c>
      <c r="D144" t="inlineStr">
        <is>
          <t>Dostoevsky / translated by Donald Attwater.</t>
        </is>
      </c>
      <c r="F144" t="inlineStr">
        <is>
          <t>No</t>
        </is>
      </c>
      <c r="G144" t="inlineStr">
        <is>
          <t>1</t>
        </is>
      </c>
      <c r="H144" t="inlineStr">
        <is>
          <t>Yes</t>
        </is>
      </c>
      <c r="I144" t="inlineStr">
        <is>
          <t>Yes</t>
        </is>
      </c>
      <c r="J144" t="inlineStr">
        <is>
          <t>0</t>
        </is>
      </c>
      <c r="K144" t="inlineStr">
        <is>
          <t>Berdi︠a︡ev, Nikolaĭ, 1874-1948.</t>
        </is>
      </c>
      <c r="L144" t="inlineStr">
        <is>
          <t>New York : Meridian Books ; World Publ. Co., 1957.</t>
        </is>
      </c>
      <c r="M144" t="inlineStr">
        <is>
          <t>1957</t>
        </is>
      </c>
      <c r="O144" t="inlineStr">
        <is>
          <t>eng</t>
        </is>
      </c>
      <c r="P144" t="inlineStr">
        <is>
          <t>nyu</t>
        </is>
      </c>
      <c r="Q144" t="inlineStr">
        <is>
          <t>Living age books, LA15</t>
        </is>
      </c>
      <c r="R144" t="inlineStr">
        <is>
          <t xml:space="preserve">PG </t>
        </is>
      </c>
      <c r="S144" t="n">
        <v>3</v>
      </c>
      <c r="T144" t="n">
        <v>9</v>
      </c>
      <c r="U144" t="inlineStr">
        <is>
          <t>2006-07-07</t>
        </is>
      </c>
      <c r="V144" t="inlineStr">
        <is>
          <t>2006-07-07</t>
        </is>
      </c>
      <c r="W144" t="inlineStr">
        <is>
          <t>1993-08-13</t>
        </is>
      </c>
      <c r="X144" t="inlineStr">
        <is>
          <t>1993-08-13</t>
        </is>
      </c>
      <c r="Y144" t="n">
        <v>693</v>
      </c>
      <c r="Z144" t="n">
        <v>632</v>
      </c>
      <c r="AA144" t="n">
        <v>901</v>
      </c>
      <c r="AB144" t="n">
        <v>4</v>
      </c>
      <c r="AC144" t="n">
        <v>5</v>
      </c>
      <c r="AD144" t="n">
        <v>28</v>
      </c>
      <c r="AE144" t="n">
        <v>41</v>
      </c>
      <c r="AF144" t="n">
        <v>8</v>
      </c>
      <c r="AG144" t="n">
        <v>16</v>
      </c>
      <c r="AH144" t="n">
        <v>5</v>
      </c>
      <c r="AI144" t="n">
        <v>7</v>
      </c>
      <c r="AJ144" t="n">
        <v>14</v>
      </c>
      <c r="AK144" t="n">
        <v>21</v>
      </c>
      <c r="AL144" t="n">
        <v>3</v>
      </c>
      <c r="AM144" t="n">
        <v>4</v>
      </c>
      <c r="AN144" t="n">
        <v>0</v>
      </c>
      <c r="AO144" t="n">
        <v>0</v>
      </c>
      <c r="AP144" t="inlineStr">
        <is>
          <t>No</t>
        </is>
      </c>
      <c r="AQ144" t="inlineStr">
        <is>
          <t>No</t>
        </is>
      </c>
      <c r="AR144">
        <f>HYPERLINK("http://catalog.hathitrust.org/Record/000965997","HathiTrust Record")</f>
        <v/>
      </c>
      <c r="AS144">
        <f>HYPERLINK("https://creighton-primo.hosted.exlibrisgroup.com/primo-explore/search?tab=default_tab&amp;search_scope=EVERYTHING&amp;vid=01CRU&amp;lang=en_US&amp;offset=0&amp;query=any,contains,991005353509702656","Catalog Record")</f>
        <v/>
      </c>
      <c r="AT144">
        <f>HYPERLINK("http://www.worldcat.org/oclc/170612","WorldCat Record")</f>
        <v/>
      </c>
      <c r="AU144" t="inlineStr">
        <is>
          <t>4575216500:eng</t>
        </is>
      </c>
      <c r="AV144" t="inlineStr">
        <is>
          <t>170612</t>
        </is>
      </c>
      <c r="AW144" t="inlineStr">
        <is>
          <t>991005353509702656</t>
        </is>
      </c>
      <c r="AX144" t="inlineStr">
        <is>
          <t>991005353509702656</t>
        </is>
      </c>
      <c r="AY144" t="inlineStr">
        <is>
          <t>2269241750002656</t>
        </is>
      </c>
      <c r="AZ144" t="inlineStr">
        <is>
          <t>BOOK</t>
        </is>
      </c>
      <c r="BC144" t="inlineStr">
        <is>
          <t>32285001727279</t>
        </is>
      </c>
      <c r="BD144" t="inlineStr">
        <is>
          <t>893777249</t>
        </is>
      </c>
    </row>
    <row r="145">
      <c r="A145" t="inlineStr">
        <is>
          <t>No</t>
        </is>
      </c>
      <c r="B145" t="inlineStr">
        <is>
          <t>PG3328 .H54 1978b</t>
        </is>
      </c>
      <c r="C145" t="inlineStr">
        <is>
          <t>0                      PG 3328000H  54          1978b</t>
        </is>
      </c>
      <c r="D145" t="inlineStr">
        <is>
          <t>Dostoyevsky, his life and work / Ronald Hingley.</t>
        </is>
      </c>
      <c r="F145" t="inlineStr">
        <is>
          <t>No</t>
        </is>
      </c>
      <c r="G145" t="inlineStr">
        <is>
          <t>1</t>
        </is>
      </c>
      <c r="H145" t="inlineStr">
        <is>
          <t>No</t>
        </is>
      </c>
      <c r="I145" t="inlineStr">
        <is>
          <t>No</t>
        </is>
      </c>
      <c r="J145" t="inlineStr">
        <is>
          <t>0</t>
        </is>
      </c>
      <c r="K145" t="inlineStr">
        <is>
          <t>Hingley, Ronald.</t>
        </is>
      </c>
      <c r="L145" t="inlineStr">
        <is>
          <t>New York : Charles Scribner's Sons, c1978.</t>
        </is>
      </c>
      <c r="M145" t="inlineStr">
        <is>
          <t>1978</t>
        </is>
      </c>
      <c r="O145" t="inlineStr">
        <is>
          <t>eng</t>
        </is>
      </c>
      <c r="P145" t="inlineStr">
        <is>
          <t>nyu</t>
        </is>
      </c>
      <c r="R145" t="inlineStr">
        <is>
          <t xml:space="preserve">PG </t>
        </is>
      </c>
      <c r="S145" t="n">
        <v>13</v>
      </c>
      <c r="T145" t="n">
        <v>13</v>
      </c>
      <c r="U145" t="inlineStr">
        <is>
          <t>2010-03-19</t>
        </is>
      </c>
      <c r="V145" t="inlineStr">
        <is>
          <t>2010-03-19</t>
        </is>
      </c>
      <c r="W145" t="inlineStr">
        <is>
          <t>1993-04-28</t>
        </is>
      </c>
      <c r="X145" t="inlineStr">
        <is>
          <t>1993-04-28</t>
        </is>
      </c>
      <c r="Y145" t="n">
        <v>640</v>
      </c>
      <c r="Z145" t="n">
        <v>601</v>
      </c>
      <c r="AA145" t="n">
        <v>652</v>
      </c>
      <c r="AB145" t="n">
        <v>3</v>
      </c>
      <c r="AC145" t="n">
        <v>4</v>
      </c>
      <c r="AD145" t="n">
        <v>20</v>
      </c>
      <c r="AE145" t="n">
        <v>22</v>
      </c>
      <c r="AF145" t="n">
        <v>10</v>
      </c>
      <c r="AG145" t="n">
        <v>10</v>
      </c>
      <c r="AH145" t="n">
        <v>4</v>
      </c>
      <c r="AI145" t="n">
        <v>5</v>
      </c>
      <c r="AJ145" t="n">
        <v>9</v>
      </c>
      <c r="AK145" t="n">
        <v>10</v>
      </c>
      <c r="AL145" t="n">
        <v>2</v>
      </c>
      <c r="AM145" t="n">
        <v>3</v>
      </c>
      <c r="AN145" t="n">
        <v>0</v>
      </c>
      <c r="AO145" t="n">
        <v>0</v>
      </c>
      <c r="AP145" t="inlineStr">
        <is>
          <t>No</t>
        </is>
      </c>
      <c r="AQ145" t="inlineStr">
        <is>
          <t>Yes</t>
        </is>
      </c>
      <c r="AR145">
        <f>HYPERLINK("http://catalog.hathitrust.org/Record/000219149","HathiTrust Record")</f>
        <v/>
      </c>
      <c r="AS145">
        <f>HYPERLINK("https://creighton-primo.hosted.exlibrisgroup.com/primo-explore/search?tab=default_tab&amp;search_scope=EVERYTHING&amp;vid=01CRU&amp;lang=en_US&amp;offset=0&amp;query=any,contains,991005372279702656","Catalog Record")</f>
        <v/>
      </c>
      <c r="AT145">
        <f>HYPERLINK("http://www.worldcat.org/oclc/4352587","WorldCat Record")</f>
        <v/>
      </c>
      <c r="AU145" t="inlineStr">
        <is>
          <t>2073323256:eng</t>
        </is>
      </c>
      <c r="AV145" t="inlineStr">
        <is>
          <t>4352587</t>
        </is>
      </c>
      <c r="AW145" t="inlineStr">
        <is>
          <t>991005372279702656</t>
        </is>
      </c>
      <c r="AX145" t="inlineStr">
        <is>
          <t>991005372279702656</t>
        </is>
      </c>
      <c r="AY145" t="inlineStr">
        <is>
          <t>2268929090002656</t>
        </is>
      </c>
      <c r="AZ145" t="inlineStr">
        <is>
          <t>BOOK</t>
        </is>
      </c>
      <c r="BB145" t="inlineStr">
        <is>
          <t>9780684159164</t>
        </is>
      </c>
      <c r="BC145" t="inlineStr">
        <is>
          <t>32285001649051</t>
        </is>
      </c>
      <c r="BD145" t="inlineStr">
        <is>
          <t>893789914</t>
        </is>
      </c>
    </row>
    <row r="146">
      <c r="A146" t="inlineStr">
        <is>
          <t>No</t>
        </is>
      </c>
      <c r="B146" t="inlineStr">
        <is>
          <t>PG3328 .K5513 1987</t>
        </is>
      </c>
      <c r="C146" t="inlineStr">
        <is>
          <t>0                      PG 3328000K  5513        1987</t>
        </is>
      </c>
      <c r="D146" t="inlineStr">
        <is>
          <t>Fyodor Dostoyevsky, a writer's life / Geir Kjetsaa ; translated from the Norwegian by Siri Hustvedt and David McDuff.</t>
        </is>
      </c>
      <c r="F146" t="inlineStr">
        <is>
          <t>No</t>
        </is>
      </c>
      <c r="G146" t="inlineStr">
        <is>
          <t>1</t>
        </is>
      </c>
      <c r="H146" t="inlineStr">
        <is>
          <t>No</t>
        </is>
      </c>
      <c r="I146" t="inlineStr">
        <is>
          <t>No</t>
        </is>
      </c>
      <c r="J146" t="inlineStr">
        <is>
          <t>0</t>
        </is>
      </c>
      <c r="K146" t="inlineStr">
        <is>
          <t>Kjetsaa, Geir, 1937-</t>
        </is>
      </c>
      <c r="L146" t="inlineStr">
        <is>
          <t>New York : Viking, 1987.</t>
        </is>
      </c>
      <c r="M146" t="inlineStr">
        <is>
          <t>1987</t>
        </is>
      </c>
      <c r="O146" t="inlineStr">
        <is>
          <t>eng</t>
        </is>
      </c>
      <c r="P146" t="inlineStr">
        <is>
          <t>nyu</t>
        </is>
      </c>
      <c r="R146" t="inlineStr">
        <is>
          <t xml:space="preserve">PG </t>
        </is>
      </c>
      <c r="S146" t="n">
        <v>11</v>
      </c>
      <c r="T146" t="n">
        <v>11</v>
      </c>
      <c r="U146" t="inlineStr">
        <is>
          <t>1997-03-05</t>
        </is>
      </c>
      <c r="V146" t="inlineStr">
        <is>
          <t>1997-03-05</t>
        </is>
      </c>
      <c r="W146" t="inlineStr">
        <is>
          <t>1993-04-28</t>
        </is>
      </c>
      <c r="X146" t="inlineStr">
        <is>
          <t>1993-04-28</t>
        </is>
      </c>
      <c r="Y146" t="n">
        <v>874</v>
      </c>
      <c r="Z146" t="n">
        <v>809</v>
      </c>
      <c r="AA146" t="n">
        <v>895</v>
      </c>
      <c r="AB146" t="n">
        <v>3</v>
      </c>
      <c r="AC146" t="n">
        <v>6</v>
      </c>
      <c r="AD146" t="n">
        <v>20</v>
      </c>
      <c r="AE146" t="n">
        <v>28</v>
      </c>
      <c r="AF146" t="n">
        <v>7</v>
      </c>
      <c r="AG146" t="n">
        <v>9</v>
      </c>
      <c r="AH146" t="n">
        <v>6</v>
      </c>
      <c r="AI146" t="n">
        <v>7</v>
      </c>
      <c r="AJ146" t="n">
        <v>11</v>
      </c>
      <c r="AK146" t="n">
        <v>13</v>
      </c>
      <c r="AL146" t="n">
        <v>1</v>
      </c>
      <c r="AM146" t="n">
        <v>4</v>
      </c>
      <c r="AN146" t="n">
        <v>0</v>
      </c>
      <c r="AO146" t="n">
        <v>0</v>
      </c>
      <c r="AP146" t="inlineStr">
        <is>
          <t>No</t>
        </is>
      </c>
      <c r="AQ146" t="inlineStr">
        <is>
          <t>Yes</t>
        </is>
      </c>
      <c r="AR146">
        <f>HYPERLINK("http://catalog.hathitrust.org/Record/000884175","HathiTrust Record")</f>
        <v/>
      </c>
      <c r="AS146">
        <f>HYPERLINK("https://creighton-primo.hosted.exlibrisgroup.com/primo-explore/search?tab=default_tab&amp;search_scope=EVERYTHING&amp;vid=01CRU&amp;lang=en_US&amp;offset=0&amp;query=any,contains,991001035999702656","Catalog Record")</f>
        <v/>
      </c>
      <c r="AT146">
        <f>HYPERLINK("http://www.worldcat.org/oclc/15549027","WorldCat Record")</f>
        <v/>
      </c>
      <c r="AU146" t="inlineStr">
        <is>
          <t>5391627:eng</t>
        </is>
      </c>
      <c r="AV146" t="inlineStr">
        <is>
          <t>15549027</t>
        </is>
      </c>
      <c r="AW146" t="inlineStr">
        <is>
          <t>991001035999702656</t>
        </is>
      </c>
      <c r="AX146" t="inlineStr">
        <is>
          <t>991001035999702656</t>
        </is>
      </c>
      <c r="AY146" t="inlineStr">
        <is>
          <t>2266706370002656</t>
        </is>
      </c>
      <c r="AZ146" t="inlineStr">
        <is>
          <t>BOOK</t>
        </is>
      </c>
      <c r="BB146" t="inlineStr">
        <is>
          <t>9780670819140</t>
        </is>
      </c>
      <c r="BC146" t="inlineStr">
        <is>
          <t>32285001649069</t>
        </is>
      </c>
      <c r="BD146" t="inlineStr">
        <is>
          <t>893621027</t>
        </is>
      </c>
    </row>
    <row r="147">
      <c r="A147" t="inlineStr">
        <is>
          <t>No</t>
        </is>
      </c>
      <c r="B147" t="inlineStr">
        <is>
          <t>PG3328 .L5 1971</t>
        </is>
      </c>
      <c r="C147" t="inlineStr">
        <is>
          <t>0                      PG 3328000L  5           1971</t>
        </is>
      </c>
      <c r="D147" t="inlineStr">
        <is>
          <t>Fyodor Dostoevsky / by J.A.T. Lloyd.</t>
        </is>
      </c>
      <c r="F147" t="inlineStr">
        <is>
          <t>No</t>
        </is>
      </c>
      <c r="G147" t="inlineStr">
        <is>
          <t>1</t>
        </is>
      </c>
      <c r="H147" t="inlineStr">
        <is>
          <t>No</t>
        </is>
      </c>
      <c r="I147" t="inlineStr">
        <is>
          <t>No</t>
        </is>
      </c>
      <c r="J147" t="inlineStr">
        <is>
          <t>0</t>
        </is>
      </c>
      <c r="K147" t="inlineStr">
        <is>
          <t>Lloyd, J. A. T. (John Arthur Thomas), 1870-1956.</t>
        </is>
      </c>
      <c r="L147" t="inlineStr">
        <is>
          <t>New York : Cooper Square Publishers, 1971 [c1947]</t>
        </is>
      </c>
      <c r="M147" t="inlineStr">
        <is>
          <t>1971</t>
        </is>
      </c>
      <c r="O147" t="inlineStr">
        <is>
          <t>eng</t>
        </is>
      </c>
      <c r="P147" t="inlineStr">
        <is>
          <t>nyu</t>
        </is>
      </c>
      <c r="R147" t="inlineStr">
        <is>
          <t xml:space="preserve">PG </t>
        </is>
      </c>
      <c r="S147" t="n">
        <v>1</v>
      </c>
      <c r="T147" t="n">
        <v>1</v>
      </c>
      <c r="U147" t="inlineStr">
        <is>
          <t>2001-03-15</t>
        </is>
      </c>
      <c r="V147" t="inlineStr">
        <is>
          <t>2001-03-15</t>
        </is>
      </c>
      <c r="W147" t="inlineStr">
        <is>
          <t>1993-04-28</t>
        </is>
      </c>
      <c r="X147" t="inlineStr">
        <is>
          <t>1993-04-28</t>
        </is>
      </c>
      <c r="Y147" t="n">
        <v>191</v>
      </c>
      <c r="Z147" t="n">
        <v>166</v>
      </c>
      <c r="AA147" t="n">
        <v>608</v>
      </c>
      <c r="AB147" t="n">
        <v>2</v>
      </c>
      <c r="AC147" t="n">
        <v>6</v>
      </c>
      <c r="AD147" t="n">
        <v>6</v>
      </c>
      <c r="AE147" t="n">
        <v>32</v>
      </c>
      <c r="AF147" t="n">
        <v>4</v>
      </c>
      <c r="AG147" t="n">
        <v>15</v>
      </c>
      <c r="AH147" t="n">
        <v>1</v>
      </c>
      <c r="AI147" t="n">
        <v>7</v>
      </c>
      <c r="AJ147" t="n">
        <v>2</v>
      </c>
      <c r="AK147" t="n">
        <v>14</v>
      </c>
      <c r="AL147" t="n">
        <v>0</v>
      </c>
      <c r="AM147" t="n">
        <v>4</v>
      </c>
      <c r="AN147" t="n">
        <v>0</v>
      </c>
      <c r="AO147" t="n">
        <v>0</v>
      </c>
      <c r="AP147" t="inlineStr">
        <is>
          <t>No</t>
        </is>
      </c>
      <c r="AQ147" t="inlineStr">
        <is>
          <t>No</t>
        </is>
      </c>
      <c r="AS147">
        <f>HYPERLINK("https://creighton-primo.hosted.exlibrisgroup.com/primo-explore/search?tab=default_tab&amp;search_scope=EVERYTHING&amp;vid=01CRU&amp;lang=en_US&amp;offset=0&amp;query=any,contains,991002113689702656","Catalog Record")</f>
        <v/>
      </c>
      <c r="AT147">
        <f>HYPERLINK("http://www.worldcat.org/oclc/267780","WorldCat Record")</f>
        <v/>
      </c>
      <c r="AU147" t="inlineStr">
        <is>
          <t>422733052:eng</t>
        </is>
      </c>
      <c r="AV147" t="inlineStr">
        <is>
          <t>267780</t>
        </is>
      </c>
      <c r="AW147" t="inlineStr">
        <is>
          <t>991002113689702656</t>
        </is>
      </c>
      <c r="AX147" t="inlineStr">
        <is>
          <t>991002113689702656</t>
        </is>
      </c>
      <c r="AY147" t="inlineStr">
        <is>
          <t>2270625340002656</t>
        </is>
      </c>
      <c r="AZ147" t="inlineStr">
        <is>
          <t>BOOK</t>
        </is>
      </c>
      <c r="BB147" t="inlineStr">
        <is>
          <t>9780815404019</t>
        </is>
      </c>
      <c r="BC147" t="inlineStr">
        <is>
          <t>32285001649077</t>
        </is>
      </c>
      <c r="BD147" t="inlineStr">
        <is>
          <t>893716060</t>
        </is>
      </c>
    </row>
    <row r="148">
      <c r="A148" t="inlineStr">
        <is>
          <t>No</t>
        </is>
      </c>
      <c r="B148" t="inlineStr">
        <is>
          <t>PG3328 .M613</t>
        </is>
      </c>
      <c r="C148" t="inlineStr">
        <is>
          <t>0                      PG 3328000M  613</t>
        </is>
      </c>
      <c r="D148" t="inlineStr">
        <is>
          <t>Dostoevsky : his life and work / translated, with an introd., by Michael A. Minihan.</t>
        </is>
      </c>
      <c r="F148" t="inlineStr">
        <is>
          <t>No</t>
        </is>
      </c>
      <c r="G148" t="inlineStr">
        <is>
          <t>1</t>
        </is>
      </c>
      <c r="H148" t="inlineStr">
        <is>
          <t>Yes</t>
        </is>
      </c>
      <c r="I148" t="inlineStr">
        <is>
          <t>No</t>
        </is>
      </c>
      <c r="J148" t="inlineStr">
        <is>
          <t>0</t>
        </is>
      </c>
      <c r="K148" t="inlineStr">
        <is>
          <t>Mochulʹskiĭ, K. (Konstantin), 1892-1948.</t>
        </is>
      </c>
      <c r="L148" t="inlineStr">
        <is>
          <t>[Princeton, N.J.] : Princeton University Press, 1967.</t>
        </is>
      </c>
      <c r="M148" t="inlineStr">
        <is>
          <t>1967</t>
        </is>
      </c>
      <c r="O148" t="inlineStr">
        <is>
          <t>eng</t>
        </is>
      </c>
      <c r="P148" t="inlineStr">
        <is>
          <t>nju</t>
        </is>
      </c>
      <c r="R148" t="inlineStr">
        <is>
          <t xml:space="preserve">PG </t>
        </is>
      </c>
      <c r="S148" t="n">
        <v>3</v>
      </c>
      <c r="T148" t="n">
        <v>12</v>
      </c>
      <c r="U148" t="inlineStr">
        <is>
          <t>1999-12-07</t>
        </is>
      </c>
      <c r="V148" t="inlineStr">
        <is>
          <t>2010-03-19</t>
        </is>
      </c>
      <c r="W148" t="inlineStr">
        <is>
          <t>1991-12-13</t>
        </is>
      </c>
      <c r="X148" t="inlineStr">
        <is>
          <t>1993-04-28</t>
        </is>
      </c>
      <c r="Y148" t="n">
        <v>1331</v>
      </c>
      <c r="Z148" t="n">
        <v>1194</v>
      </c>
      <c r="AA148" t="n">
        <v>1308</v>
      </c>
      <c r="AB148" t="n">
        <v>9</v>
      </c>
      <c r="AC148" t="n">
        <v>10</v>
      </c>
      <c r="AD148" t="n">
        <v>40</v>
      </c>
      <c r="AE148" t="n">
        <v>48</v>
      </c>
      <c r="AF148" t="n">
        <v>16</v>
      </c>
      <c r="AG148" t="n">
        <v>21</v>
      </c>
      <c r="AH148" t="n">
        <v>9</v>
      </c>
      <c r="AI148" t="n">
        <v>10</v>
      </c>
      <c r="AJ148" t="n">
        <v>18</v>
      </c>
      <c r="AK148" t="n">
        <v>21</v>
      </c>
      <c r="AL148" t="n">
        <v>8</v>
      </c>
      <c r="AM148" t="n">
        <v>9</v>
      </c>
      <c r="AN148" t="n">
        <v>0</v>
      </c>
      <c r="AO148" t="n">
        <v>0</v>
      </c>
      <c r="AP148" t="inlineStr">
        <is>
          <t>No</t>
        </is>
      </c>
      <c r="AQ148" t="inlineStr">
        <is>
          <t>Yes</t>
        </is>
      </c>
      <c r="AR148">
        <f>HYPERLINK("http://catalog.hathitrust.org/Record/000980804","HathiTrust Record")</f>
        <v/>
      </c>
      <c r="AS148">
        <f>HYPERLINK("https://creighton-primo.hosted.exlibrisgroup.com/primo-explore/search?tab=default_tab&amp;search_scope=EVERYTHING&amp;vid=01CRU&amp;lang=en_US&amp;offset=0&amp;query=any,contains,991001067309702656","Catalog Record")</f>
        <v/>
      </c>
      <c r="AT148">
        <f>HYPERLINK("http://www.worldcat.org/oclc/178365","WorldCat Record")</f>
        <v/>
      </c>
      <c r="AU148" t="inlineStr">
        <is>
          <t>10596227709:eng</t>
        </is>
      </c>
      <c r="AV148" t="inlineStr">
        <is>
          <t>178365</t>
        </is>
      </c>
      <c r="AW148" t="inlineStr">
        <is>
          <t>991001067309702656</t>
        </is>
      </c>
      <c r="AX148" t="inlineStr">
        <is>
          <t>991001067309702656</t>
        </is>
      </c>
      <c r="AY148" t="inlineStr">
        <is>
          <t>2264299550002656</t>
        </is>
      </c>
      <c r="AZ148" t="inlineStr">
        <is>
          <t>BOOK</t>
        </is>
      </c>
      <c r="BC148" t="inlineStr">
        <is>
          <t>32285000876226</t>
        </is>
      </c>
      <c r="BD148" t="inlineStr">
        <is>
          <t>893683993</t>
        </is>
      </c>
    </row>
    <row r="149">
      <c r="A149" t="inlineStr">
        <is>
          <t>No</t>
        </is>
      </c>
      <c r="B149" t="inlineStr">
        <is>
          <t>PG3328 .M613</t>
        </is>
      </c>
      <c r="C149" t="inlineStr">
        <is>
          <t>0                      PG 3328000M  613</t>
        </is>
      </c>
      <c r="D149" t="inlineStr">
        <is>
          <t>Dostoevsky : his life and work / translated, with an introd., by Michael A. Minihan.</t>
        </is>
      </c>
      <c r="F149" t="inlineStr">
        <is>
          <t>No</t>
        </is>
      </c>
      <c r="G149" t="inlineStr">
        <is>
          <t>1</t>
        </is>
      </c>
      <c r="H149" t="inlineStr">
        <is>
          <t>Yes</t>
        </is>
      </c>
      <c r="I149" t="inlineStr">
        <is>
          <t>No</t>
        </is>
      </c>
      <c r="J149" t="inlineStr">
        <is>
          <t>0</t>
        </is>
      </c>
      <c r="K149" t="inlineStr">
        <is>
          <t>Mochulʹskiĭ, K. (Konstantin), 1892-1948.</t>
        </is>
      </c>
      <c r="L149" t="inlineStr">
        <is>
          <t>[Princeton, N.J.] : Princeton University Press, 1967.</t>
        </is>
      </c>
      <c r="M149" t="inlineStr">
        <is>
          <t>1967</t>
        </is>
      </c>
      <c r="O149" t="inlineStr">
        <is>
          <t>eng</t>
        </is>
      </c>
      <c r="P149" t="inlineStr">
        <is>
          <t>nju</t>
        </is>
      </c>
      <c r="R149" t="inlineStr">
        <is>
          <t xml:space="preserve">PG </t>
        </is>
      </c>
      <c r="S149" t="n">
        <v>9</v>
      </c>
      <c r="T149" t="n">
        <v>12</v>
      </c>
      <c r="U149" t="inlineStr">
        <is>
          <t>2010-03-19</t>
        </is>
      </c>
      <c r="V149" t="inlineStr">
        <is>
          <t>2010-03-19</t>
        </is>
      </c>
      <c r="W149" t="inlineStr">
        <is>
          <t>1993-04-28</t>
        </is>
      </c>
      <c r="X149" t="inlineStr">
        <is>
          <t>1993-04-28</t>
        </is>
      </c>
      <c r="Y149" t="n">
        <v>1331</v>
      </c>
      <c r="Z149" t="n">
        <v>1194</v>
      </c>
      <c r="AA149" t="n">
        <v>1308</v>
      </c>
      <c r="AB149" t="n">
        <v>9</v>
      </c>
      <c r="AC149" t="n">
        <v>10</v>
      </c>
      <c r="AD149" t="n">
        <v>40</v>
      </c>
      <c r="AE149" t="n">
        <v>48</v>
      </c>
      <c r="AF149" t="n">
        <v>16</v>
      </c>
      <c r="AG149" t="n">
        <v>21</v>
      </c>
      <c r="AH149" t="n">
        <v>9</v>
      </c>
      <c r="AI149" t="n">
        <v>10</v>
      </c>
      <c r="AJ149" t="n">
        <v>18</v>
      </c>
      <c r="AK149" t="n">
        <v>21</v>
      </c>
      <c r="AL149" t="n">
        <v>8</v>
      </c>
      <c r="AM149" t="n">
        <v>9</v>
      </c>
      <c r="AN149" t="n">
        <v>0</v>
      </c>
      <c r="AO149" t="n">
        <v>0</v>
      </c>
      <c r="AP149" t="inlineStr">
        <is>
          <t>No</t>
        </is>
      </c>
      <c r="AQ149" t="inlineStr">
        <is>
          <t>Yes</t>
        </is>
      </c>
      <c r="AR149">
        <f>HYPERLINK("http://catalog.hathitrust.org/Record/000980804","HathiTrust Record")</f>
        <v/>
      </c>
      <c r="AS149">
        <f>HYPERLINK("https://creighton-primo.hosted.exlibrisgroup.com/primo-explore/search?tab=default_tab&amp;search_scope=EVERYTHING&amp;vid=01CRU&amp;lang=en_US&amp;offset=0&amp;query=any,contains,991001067309702656","Catalog Record")</f>
        <v/>
      </c>
      <c r="AT149">
        <f>HYPERLINK("http://www.worldcat.org/oclc/178365","WorldCat Record")</f>
        <v/>
      </c>
      <c r="AU149" t="inlineStr">
        <is>
          <t>10596227709:eng</t>
        </is>
      </c>
      <c r="AV149" t="inlineStr">
        <is>
          <t>178365</t>
        </is>
      </c>
      <c r="AW149" t="inlineStr">
        <is>
          <t>991001067309702656</t>
        </is>
      </c>
      <c r="AX149" t="inlineStr">
        <is>
          <t>991001067309702656</t>
        </is>
      </c>
      <c r="AY149" t="inlineStr">
        <is>
          <t>2264299550002656</t>
        </is>
      </c>
      <c r="AZ149" t="inlineStr">
        <is>
          <t>BOOK</t>
        </is>
      </c>
      <c r="BC149" t="inlineStr">
        <is>
          <t>32285001649085</t>
        </is>
      </c>
      <c r="BD149" t="inlineStr">
        <is>
          <t>893683992</t>
        </is>
      </c>
    </row>
    <row r="150">
      <c r="A150" t="inlineStr">
        <is>
          <t>No</t>
        </is>
      </c>
      <c r="B150" t="inlineStr">
        <is>
          <t>PG3328 .S27 1962</t>
        </is>
      </c>
      <c r="C150" t="inlineStr">
        <is>
          <t>0                      PG 3328000S  27          1962</t>
        </is>
      </c>
      <c r="D150" t="inlineStr">
        <is>
          <t>F.M. Dostoevsky: his image of man.</t>
        </is>
      </c>
      <c r="F150" t="inlineStr">
        <is>
          <t>No</t>
        </is>
      </c>
      <c r="G150" t="inlineStr">
        <is>
          <t>1</t>
        </is>
      </c>
      <c r="H150" t="inlineStr">
        <is>
          <t>No</t>
        </is>
      </c>
      <c r="I150" t="inlineStr">
        <is>
          <t>No</t>
        </is>
      </c>
      <c r="J150" t="inlineStr">
        <is>
          <t>0</t>
        </is>
      </c>
      <c r="K150" t="inlineStr">
        <is>
          <t>Šajković, Miriam Taylor.</t>
        </is>
      </c>
      <c r="L150" t="inlineStr">
        <is>
          <t>Philadelphia, University of Pennsylvania Press [1962]</t>
        </is>
      </c>
      <c r="M150" t="inlineStr">
        <is>
          <t>1962</t>
        </is>
      </c>
      <c r="O150" t="inlineStr">
        <is>
          <t>eng</t>
        </is>
      </c>
      <c r="P150" t="inlineStr">
        <is>
          <t>pau</t>
        </is>
      </c>
      <c r="R150" t="inlineStr">
        <is>
          <t xml:space="preserve">PG </t>
        </is>
      </c>
      <c r="S150" t="n">
        <v>4</v>
      </c>
      <c r="T150" t="n">
        <v>4</v>
      </c>
      <c r="U150" t="inlineStr">
        <is>
          <t>2010-03-19</t>
        </is>
      </c>
      <c r="V150" t="inlineStr">
        <is>
          <t>2010-03-19</t>
        </is>
      </c>
      <c r="W150" t="inlineStr">
        <is>
          <t>1997-10-02</t>
        </is>
      </c>
      <c r="X150" t="inlineStr">
        <is>
          <t>1997-10-02</t>
        </is>
      </c>
      <c r="Y150" t="n">
        <v>600</v>
      </c>
      <c r="Z150" t="n">
        <v>524</v>
      </c>
      <c r="AA150" t="n">
        <v>696</v>
      </c>
      <c r="AB150" t="n">
        <v>3</v>
      </c>
      <c r="AC150" t="n">
        <v>3</v>
      </c>
      <c r="AD150" t="n">
        <v>25</v>
      </c>
      <c r="AE150" t="n">
        <v>33</v>
      </c>
      <c r="AF150" t="n">
        <v>10</v>
      </c>
      <c r="AG150" t="n">
        <v>15</v>
      </c>
      <c r="AH150" t="n">
        <v>7</v>
      </c>
      <c r="AI150" t="n">
        <v>9</v>
      </c>
      <c r="AJ150" t="n">
        <v>12</v>
      </c>
      <c r="AK150" t="n">
        <v>16</v>
      </c>
      <c r="AL150" t="n">
        <v>2</v>
      </c>
      <c r="AM150" t="n">
        <v>2</v>
      </c>
      <c r="AN150" t="n">
        <v>0</v>
      </c>
      <c r="AO150" t="n">
        <v>0</v>
      </c>
      <c r="AP150" t="inlineStr">
        <is>
          <t>Yes</t>
        </is>
      </c>
      <c r="AQ150" t="inlineStr">
        <is>
          <t>No</t>
        </is>
      </c>
      <c r="AR150">
        <f>HYPERLINK("http://catalog.hathitrust.org/Record/001224478","HathiTrust Record")</f>
        <v/>
      </c>
      <c r="AS150">
        <f>HYPERLINK("https://creighton-primo.hosted.exlibrisgroup.com/primo-explore/search?tab=default_tab&amp;search_scope=EVERYTHING&amp;vid=01CRU&amp;lang=en_US&amp;offset=0&amp;query=any,contains,991005355329702656","Catalog Record")</f>
        <v/>
      </c>
      <c r="AT150">
        <f>HYPERLINK("http://www.worldcat.org/oclc/419532","WorldCat Record")</f>
        <v/>
      </c>
      <c r="AU150" t="inlineStr">
        <is>
          <t>44811160:eng</t>
        </is>
      </c>
      <c r="AV150" t="inlineStr">
        <is>
          <t>419532</t>
        </is>
      </c>
      <c r="AW150" t="inlineStr">
        <is>
          <t>991005355329702656</t>
        </is>
      </c>
      <c r="AX150" t="inlineStr">
        <is>
          <t>991005355329702656</t>
        </is>
      </c>
      <c r="AY150" t="inlineStr">
        <is>
          <t>2261546790002656</t>
        </is>
      </c>
      <c r="AZ150" t="inlineStr">
        <is>
          <t>BOOK</t>
        </is>
      </c>
      <c r="BC150" t="inlineStr">
        <is>
          <t>32285003239463</t>
        </is>
      </c>
      <c r="BD150" t="inlineStr">
        <is>
          <t>893870940</t>
        </is>
      </c>
    </row>
    <row r="151">
      <c r="A151" t="inlineStr">
        <is>
          <t>No</t>
        </is>
      </c>
      <c r="B151" t="inlineStr">
        <is>
          <t>PG3328 .S47 1966</t>
        </is>
      </c>
      <c r="C151" t="inlineStr">
        <is>
          <t>0                      PG 3328000S  47          1966</t>
        </is>
      </c>
      <c r="D151" t="inlineStr">
        <is>
          <t>Dostoievsky, by A. Steinberg.</t>
        </is>
      </c>
      <c r="F151" t="inlineStr">
        <is>
          <t>No</t>
        </is>
      </c>
      <c r="G151" t="inlineStr">
        <is>
          <t>1</t>
        </is>
      </c>
      <c r="H151" t="inlineStr">
        <is>
          <t>No</t>
        </is>
      </c>
      <c r="I151" t="inlineStr">
        <is>
          <t>No</t>
        </is>
      </c>
      <c r="J151" t="inlineStr">
        <is>
          <t>0</t>
        </is>
      </c>
      <c r="K151" t="inlineStr">
        <is>
          <t>Shteĭnberg, A. Z. (Aaron Zakharovich), 1891-1975.</t>
        </is>
      </c>
      <c r="L151" t="inlineStr">
        <is>
          <t>New York, Hillary House Publishers, 1966.</t>
        </is>
      </c>
      <c r="M151" t="inlineStr">
        <is>
          <t>1966</t>
        </is>
      </c>
      <c r="O151" t="inlineStr">
        <is>
          <t>eng</t>
        </is>
      </c>
      <c r="P151" t="inlineStr">
        <is>
          <t>nyu</t>
        </is>
      </c>
      <c r="Q151" t="inlineStr">
        <is>
          <t>Studies in modern European literature and thought</t>
        </is>
      </c>
      <c r="R151" t="inlineStr">
        <is>
          <t xml:space="preserve">PG </t>
        </is>
      </c>
      <c r="S151" t="n">
        <v>5</v>
      </c>
      <c r="T151" t="n">
        <v>5</v>
      </c>
      <c r="U151" t="inlineStr">
        <is>
          <t>2010-03-19</t>
        </is>
      </c>
      <c r="V151" t="inlineStr">
        <is>
          <t>2010-03-19</t>
        </is>
      </c>
      <c r="W151" t="inlineStr">
        <is>
          <t>1997-10-02</t>
        </is>
      </c>
      <c r="X151" t="inlineStr">
        <is>
          <t>1997-10-02</t>
        </is>
      </c>
      <c r="Y151" t="n">
        <v>351</v>
      </c>
      <c r="Z151" t="n">
        <v>343</v>
      </c>
      <c r="AA151" t="n">
        <v>571</v>
      </c>
      <c r="AB151" t="n">
        <v>4</v>
      </c>
      <c r="AC151" t="n">
        <v>5</v>
      </c>
      <c r="AD151" t="n">
        <v>14</v>
      </c>
      <c r="AE151" t="n">
        <v>28</v>
      </c>
      <c r="AF151" t="n">
        <v>3</v>
      </c>
      <c r="AG151" t="n">
        <v>10</v>
      </c>
      <c r="AH151" t="n">
        <v>3</v>
      </c>
      <c r="AI151" t="n">
        <v>5</v>
      </c>
      <c r="AJ151" t="n">
        <v>7</v>
      </c>
      <c r="AK151" t="n">
        <v>14</v>
      </c>
      <c r="AL151" t="n">
        <v>3</v>
      </c>
      <c r="AM151" t="n">
        <v>4</v>
      </c>
      <c r="AN151" t="n">
        <v>0</v>
      </c>
      <c r="AO151" t="n">
        <v>0</v>
      </c>
      <c r="AP151" t="inlineStr">
        <is>
          <t>No</t>
        </is>
      </c>
      <c r="AQ151" t="inlineStr">
        <is>
          <t>Yes</t>
        </is>
      </c>
      <c r="AR151">
        <f>HYPERLINK("http://catalog.hathitrust.org/Record/007120676","HathiTrust Record")</f>
        <v/>
      </c>
      <c r="AS151">
        <f>HYPERLINK("https://creighton-primo.hosted.exlibrisgroup.com/primo-explore/search?tab=default_tab&amp;search_scope=EVERYTHING&amp;vid=01CRU&amp;lang=en_US&amp;offset=0&amp;query=any,contains,991005361479702656","Catalog Record")</f>
        <v/>
      </c>
      <c r="AT151">
        <f>HYPERLINK("http://www.worldcat.org/oclc/1494533","WorldCat Record")</f>
        <v/>
      </c>
      <c r="AU151" t="inlineStr">
        <is>
          <t>181293682:eng</t>
        </is>
      </c>
      <c r="AV151" t="inlineStr">
        <is>
          <t>1494533</t>
        </is>
      </c>
      <c r="AW151" t="inlineStr">
        <is>
          <t>991005361479702656</t>
        </is>
      </c>
      <c r="AX151" t="inlineStr">
        <is>
          <t>991005361479702656</t>
        </is>
      </c>
      <c r="AY151" t="inlineStr">
        <is>
          <t>2272670050002656</t>
        </is>
      </c>
      <c r="AZ151" t="inlineStr">
        <is>
          <t>BOOK</t>
        </is>
      </c>
      <c r="BC151" t="inlineStr">
        <is>
          <t>32285003239471</t>
        </is>
      </c>
      <c r="BD151" t="inlineStr">
        <is>
          <t>893443864</t>
        </is>
      </c>
    </row>
    <row r="152">
      <c r="A152" t="inlineStr">
        <is>
          <t>No</t>
        </is>
      </c>
      <c r="B152" t="inlineStr">
        <is>
          <t>PG3328 .S5</t>
        </is>
      </c>
      <c r="C152" t="inlineStr">
        <is>
          <t>0                      PG 3328000S  5</t>
        </is>
      </c>
      <c r="D152" t="inlineStr">
        <is>
          <t>Dostoevsky : the making of a novelist / Ernest J. Simmons.</t>
        </is>
      </c>
      <c r="F152" t="inlineStr">
        <is>
          <t>No</t>
        </is>
      </c>
      <c r="G152" t="inlineStr">
        <is>
          <t>1</t>
        </is>
      </c>
      <c r="H152" t="inlineStr">
        <is>
          <t>No</t>
        </is>
      </c>
      <c r="I152" t="inlineStr">
        <is>
          <t>No</t>
        </is>
      </c>
      <c r="J152" t="inlineStr">
        <is>
          <t>0</t>
        </is>
      </c>
      <c r="K152" t="inlineStr">
        <is>
          <t>Simmons, Ernest J. (Ernest Joseph), 1903-1972.</t>
        </is>
      </c>
      <c r="L152" t="inlineStr">
        <is>
          <t>New York : Vintage Books, c1940.</t>
        </is>
      </c>
      <c r="M152" t="inlineStr">
        <is>
          <t>1940</t>
        </is>
      </c>
      <c r="O152" t="inlineStr">
        <is>
          <t>eng</t>
        </is>
      </c>
      <c r="P152" t="inlineStr">
        <is>
          <t>nyu</t>
        </is>
      </c>
      <c r="Q152" t="inlineStr">
        <is>
          <t>Vintage Russian library ; V-736</t>
        </is>
      </c>
      <c r="R152" t="inlineStr">
        <is>
          <t xml:space="preserve">PG </t>
        </is>
      </c>
      <c r="S152" t="n">
        <v>5</v>
      </c>
      <c r="T152" t="n">
        <v>5</v>
      </c>
      <c r="U152" t="inlineStr">
        <is>
          <t>2010-03-19</t>
        </is>
      </c>
      <c r="V152" t="inlineStr">
        <is>
          <t>2010-03-19</t>
        </is>
      </c>
      <c r="W152" t="inlineStr">
        <is>
          <t>1997-09-08</t>
        </is>
      </c>
      <c r="X152" t="inlineStr">
        <is>
          <t>1997-09-08</t>
        </is>
      </c>
      <c r="Y152" t="n">
        <v>162</v>
      </c>
      <c r="Z152" t="n">
        <v>143</v>
      </c>
      <c r="AA152" t="n">
        <v>495</v>
      </c>
      <c r="AB152" t="n">
        <v>1</v>
      </c>
      <c r="AC152" t="n">
        <v>4</v>
      </c>
      <c r="AD152" t="n">
        <v>9</v>
      </c>
      <c r="AE152" t="n">
        <v>24</v>
      </c>
      <c r="AF152" t="n">
        <v>4</v>
      </c>
      <c r="AG152" t="n">
        <v>8</v>
      </c>
      <c r="AH152" t="n">
        <v>3</v>
      </c>
      <c r="AI152" t="n">
        <v>6</v>
      </c>
      <c r="AJ152" t="n">
        <v>2</v>
      </c>
      <c r="AK152" t="n">
        <v>11</v>
      </c>
      <c r="AL152" t="n">
        <v>0</v>
      </c>
      <c r="AM152" t="n">
        <v>3</v>
      </c>
      <c r="AN152" t="n">
        <v>0</v>
      </c>
      <c r="AO152" t="n">
        <v>0</v>
      </c>
      <c r="AP152" t="inlineStr">
        <is>
          <t>No</t>
        </is>
      </c>
      <c r="AQ152" t="inlineStr">
        <is>
          <t>No</t>
        </is>
      </c>
      <c r="AS152">
        <f>HYPERLINK("https://creighton-primo.hosted.exlibrisgroup.com/primo-explore/search?tab=default_tab&amp;search_scope=EVERYTHING&amp;vid=01CRU&amp;lang=en_US&amp;offset=0&amp;query=any,contains,991005381719702656","Catalog Record")</f>
        <v/>
      </c>
      <c r="AT152">
        <f>HYPERLINK("http://www.worldcat.org/oclc/6230471","WorldCat Record")</f>
        <v/>
      </c>
      <c r="AU152" t="inlineStr">
        <is>
          <t>3755271008:eng</t>
        </is>
      </c>
      <c r="AV152" t="inlineStr">
        <is>
          <t>6230471</t>
        </is>
      </c>
      <c r="AW152" t="inlineStr">
        <is>
          <t>991005381719702656</t>
        </is>
      </c>
      <c r="AX152" t="inlineStr">
        <is>
          <t>991005381719702656</t>
        </is>
      </c>
      <c r="AY152" t="inlineStr">
        <is>
          <t>2268483400002656</t>
        </is>
      </c>
      <c r="AZ152" t="inlineStr">
        <is>
          <t>BOOK</t>
        </is>
      </c>
      <c r="BC152" t="inlineStr">
        <is>
          <t>32285003167748</t>
        </is>
      </c>
      <c r="BD152" t="inlineStr">
        <is>
          <t>893437753</t>
        </is>
      </c>
    </row>
    <row r="153">
      <c r="A153" t="inlineStr">
        <is>
          <t>No</t>
        </is>
      </c>
      <c r="B153" t="inlineStr">
        <is>
          <t>PG3328 .S53</t>
        </is>
      </c>
      <c r="C153" t="inlineStr">
        <is>
          <t>0                      PG 3328000S  53</t>
        </is>
      </c>
      <c r="D153" t="inlineStr">
        <is>
          <t>Feodor Dostoevsky, by Ernest J. Simmons.</t>
        </is>
      </c>
      <c r="F153" t="inlineStr">
        <is>
          <t>No</t>
        </is>
      </c>
      <c r="G153" t="inlineStr">
        <is>
          <t>1</t>
        </is>
      </c>
      <c r="H153" t="inlineStr">
        <is>
          <t>No</t>
        </is>
      </c>
      <c r="I153" t="inlineStr">
        <is>
          <t>No</t>
        </is>
      </c>
      <c r="J153" t="inlineStr">
        <is>
          <t>0</t>
        </is>
      </c>
      <c r="K153" t="inlineStr">
        <is>
          <t>Simmons, Ernest J. (Ernest Joseph), 1903-1972.</t>
        </is>
      </c>
      <c r="L153" t="inlineStr">
        <is>
          <t>New York, Columbia University Press, 1969.</t>
        </is>
      </c>
      <c r="M153" t="inlineStr">
        <is>
          <t>1969</t>
        </is>
      </c>
      <c r="O153" t="inlineStr">
        <is>
          <t>eng</t>
        </is>
      </c>
      <c r="P153" t="inlineStr">
        <is>
          <t>nyu</t>
        </is>
      </c>
      <c r="Q153" t="inlineStr">
        <is>
          <t>Columbia essays on modern writers ; no. 40</t>
        </is>
      </c>
      <c r="R153" t="inlineStr">
        <is>
          <t xml:space="preserve">PG </t>
        </is>
      </c>
      <c r="S153" t="n">
        <v>9</v>
      </c>
      <c r="T153" t="n">
        <v>9</v>
      </c>
      <c r="U153" t="inlineStr">
        <is>
          <t>2010-03-19</t>
        </is>
      </c>
      <c r="V153" t="inlineStr">
        <is>
          <t>2010-03-19</t>
        </is>
      </c>
      <c r="W153" t="inlineStr">
        <is>
          <t>1997-10-02</t>
        </is>
      </c>
      <c r="X153" t="inlineStr">
        <is>
          <t>1997-10-02</t>
        </is>
      </c>
      <c r="Y153" t="n">
        <v>753</v>
      </c>
      <c r="Z153" t="n">
        <v>645</v>
      </c>
      <c r="AA153" t="n">
        <v>651</v>
      </c>
      <c r="AB153" t="n">
        <v>6</v>
      </c>
      <c r="AC153" t="n">
        <v>6</v>
      </c>
      <c r="AD153" t="n">
        <v>28</v>
      </c>
      <c r="AE153" t="n">
        <v>28</v>
      </c>
      <c r="AF153" t="n">
        <v>11</v>
      </c>
      <c r="AG153" t="n">
        <v>11</v>
      </c>
      <c r="AH153" t="n">
        <v>5</v>
      </c>
      <c r="AI153" t="n">
        <v>5</v>
      </c>
      <c r="AJ153" t="n">
        <v>13</v>
      </c>
      <c r="AK153" t="n">
        <v>13</v>
      </c>
      <c r="AL153" t="n">
        <v>5</v>
      </c>
      <c r="AM153" t="n">
        <v>5</v>
      </c>
      <c r="AN153" t="n">
        <v>0</v>
      </c>
      <c r="AO153" t="n">
        <v>0</v>
      </c>
      <c r="AP153" t="inlineStr">
        <is>
          <t>No</t>
        </is>
      </c>
      <c r="AQ153" t="inlineStr">
        <is>
          <t>No</t>
        </is>
      </c>
      <c r="AS153">
        <f>HYPERLINK("https://creighton-primo.hosted.exlibrisgroup.com/primo-explore/search?tab=default_tab&amp;search_scope=EVERYTHING&amp;vid=01CRU&amp;lang=en_US&amp;offset=0&amp;query=any,contains,991005352789702656","Catalog Record")</f>
        <v/>
      </c>
      <c r="AT153">
        <f>HYPERLINK("http://www.worldcat.org/oclc/32345","WorldCat Record")</f>
        <v/>
      </c>
      <c r="AU153" t="inlineStr">
        <is>
          <t>1185824:eng</t>
        </is>
      </c>
      <c r="AV153" t="inlineStr">
        <is>
          <t>32345</t>
        </is>
      </c>
      <c r="AW153" t="inlineStr">
        <is>
          <t>991005352789702656</t>
        </is>
      </c>
      <c r="AX153" t="inlineStr">
        <is>
          <t>991005352789702656</t>
        </is>
      </c>
      <c r="AY153" t="inlineStr">
        <is>
          <t>2258276480002656</t>
        </is>
      </c>
      <c r="AZ153" t="inlineStr">
        <is>
          <t>BOOK</t>
        </is>
      </c>
      <c r="BC153" t="inlineStr">
        <is>
          <t>32285003239489</t>
        </is>
      </c>
      <c r="BD153" t="inlineStr">
        <is>
          <t>893689000</t>
        </is>
      </c>
    </row>
    <row r="154">
      <c r="A154" t="inlineStr">
        <is>
          <t>No</t>
        </is>
      </c>
      <c r="B154" t="inlineStr">
        <is>
          <t>PG3328 .W4</t>
        </is>
      </c>
      <c r="C154" t="inlineStr">
        <is>
          <t>0                      PG 3328000W  4</t>
        </is>
      </c>
      <c r="D154" t="inlineStr">
        <is>
          <t>Dostoevsky; a collection of critical essays.</t>
        </is>
      </c>
      <c r="F154" t="inlineStr">
        <is>
          <t>No</t>
        </is>
      </c>
      <c r="G154" t="inlineStr">
        <is>
          <t>1</t>
        </is>
      </c>
      <c r="H154" t="inlineStr">
        <is>
          <t>No</t>
        </is>
      </c>
      <c r="I154" t="inlineStr">
        <is>
          <t>No</t>
        </is>
      </c>
      <c r="J154" t="inlineStr">
        <is>
          <t>0</t>
        </is>
      </c>
      <c r="K154" t="inlineStr">
        <is>
          <t>Wellek, René, editor.</t>
        </is>
      </c>
      <c r="L154" t="inlineStr">
        <is>
          <t>Englewood Cliffs, N.J., Prentice-Hall [1962]</t>
        </is>
      </c>
      <c r="M154" t="inlineStr">
        <is>
          <t>1962</t>
        </is>
      </c>
      <c r="O154" t="inlineStr">
        <is>
          <t>eng</t>
        </is>
      </c>
      <c r="P154" t="inlineStr">
        <is>
          <t>nju</t>
        </is>
      </c>
      <c r="Q154" t="inlineStr">
        <is>
          <t>A Spectrum book: Twentieth century views, STC-16</t>
        </is>
      </c>
      <c r="R154" t="inlineStr">
        <is>
          <t xml:space="preserve">PG </t>
        </is>
      </c>
      <c r="S154" t="n">
        <v>14</v>
      </c>
      <c r="T154" t="n">
        <v>14</v>
      </c>
      <c r="U154" t="inlineStr">
        <is>
          <t>2010-03-19</t>
        </is>
      </c>
      <c r="V154" t="inlineStr">
        <is>
          <t>2010-03-19</t>
        </is>
      </c>
      <c r="W154" t="inlineStr">
        <is>
          <t>1997-10-02</t>
        </is>
      </c>
      <c r="X154" t="inlineStr">
        <is>
          <t>1997-10-02</t>
        </is>
      </c>
      <c r="Y154" t="n">
        <v>2126</v>
      </c>
      <c r="Z154" t="n">
        <v>1913</v>
      </c>
      <c r="AA154" t="n">
        <v>1955</v>
      </c>
      <c r="AB154" t="n">
        <v>18</v>
      </c>
      <c r="AC154" t="n">
        <v>18</v>
      </c>
      <c r="AD154" t="n">
        <v>50</v>
      </c>
      <c r="AE154" t="n">
        <v>51</v>
      </c>
      <c r="AF154" t="n">
        <v>19</v>
      </c>
      <c r="AG154" t="n">
        <v>20</v>
      </c>
      <c r="AH154" t="n">
        <v>8</v>
      </c>
      <c r="AI154" t="n">
        <v>9</v>
      </c>
      <c r="AJ154" t="n">
        <v>19</v>
      </c>
      <c r="AK154" t="n">
        <v>19</v>
      </c>
      <c r="AL154" t="n">
        <v>13</v>
      </c>
      <c r="AM154" t="n">
        <v>13</v>
      </c>
      <c r="AN154" t="n">
        <v>0</v>
      </c>
      <c r="AO154" t="n">
        <v>0</v>
      </c>
      <c r="AP154" t="inlineStr">
        <is>
          <t>No</t>
        </is>
      </c>
      <c r="AQ154" t="inlineStr">
        <is>
          <t>No</t>
        </is>
      </c>
      <c r="AR154">
        <f>HYPERLINK("http://catalog.hathitrust.org/Record/000966001","HathiTrust Record")</f>
        <v/>
      </c>
      <c r="AS154">
        <f>HYPERLINK("https://creighton-primo.hosted.exlibrisgroup.com/primo-explore/search?tab=default_tab&amp;search_scope=EVERYTHING&amp;vid=01CRU&amp;lang=en_US&amp;offset=0&amp;query=any,contains,991002312199702656","Catalog Record")</f>
        <v/>
      </c>
      <c r="AT154">
        <f>HYPERLINK("http://www.worldcat.org/oclc/319678","WorldCat Record")</f>
        <v/>
      </c>
      <c r="AU154" t="inlineStr">
        <is>
          <t>820628019:eng</t>
        </is>
      </c>
      <c r="AV154" t="inlineStr">
        <is>
          <t>319678</t>
        </is>
      </c>
      <c r="AW154" t="inlineStr">
        <is>
          <t>991002312199702656</t>
        </is>
      </c>
      <c r="AX154" t="inlineStr">
        <is>
          <t>991002312199702656</t>
        </is>
      </c>
      <c r="AY154" t="inlineStr">
        <is>
          <t>2268239450002656</t>
        </is>
      </c>
      <c r="AZ154" t="inlineStr">
        <is>
          <t>BOOK</t>
        </is>
      </c>
      <c r="BC154" t="inlineStr">
        <is>
          <t>32285003239497</t>
        </is>
      </c>
      <c r="BD154" t="inlineStr">
        <is>
          <t>893316667</t>
        </is>
      </c>
    </row>
    <row r="155">
      <c r="A155" t="inlineStr">
        <is>
          <t>No</t>
        </is>
      </c>
      <c r="B155" t="inlineStr">
        <is>
          <t>PG3328 .Y34</t>
        </is>
      </c>
      <c r="C155" t="inlineStr">
        <is>
          <t>0                      PG 3328000Y  34</t>
        </is>
      </c>
      <c r="D155" t="inlineStr">
        <is>
          <t>Dostoevsky : works and days.</t>
        </is>
      </c>
      <c r="F155" t="inlineStr">
        <is>
          <t>No</t>
        </is>
      </c>
      <c r="G155" t="inlineStr">
        <is>
          <t>1</t>
        </is>
      </c>
      <c r="H155" t="inlineStr">
        <is>
          <t>No</t>
        </is>
      </c>
      <c r="I155" t="inlineStr">
        <is>
          <t>No</t>
        </is>
      </c>
      <c r="J155" t="inlineStr">
        <is>
          <t>0</t>
        </is>
      </c>
      <c r="K155" t="inlineStr">
        <is>
          <t>Yarmolinsky, Avrahm, 1890-1975.</t>
        </is>
      </c>
      <c r="L155" t="inlineStr">
        <is>
          <t>New York : Funk &amp; Wagnalls, [1971]</t>
        </is>
      </c>
      <c r="M155" t="inlineStr">
        <is>
          <t>1971</t>
        </is>
      </c>
      <c r="O155" t="inlineStr">
        <is>
          <t>eng</t>
        </is>
      </c>
      <c r="P155" t="inlineStr">
        <is>
          <t>nyu</t>
        </is>
      </c>
      <c r="R155" t="inlineStr">
        <is>
          <t xml:space="preserve">PG </t>
        </is>
      </c>
      <c r="S155" t="n">
        <v>9</v>
      </c>
      <c r="T155" t="n">
        <v>9</v>
      </c>
      <c r="U155" t="inlineStr">
        <is>
          <t>1999-11-29</t>
        </is>
      </c>
      <c r="V155" t="inlineStr">
        <is>
          <t>1999-11-29</t>
        </is>
      </c>
      <c r="W155" t="inlineStr">
        <is>
          <t>1991-11-19</t>
        </is>
      </c>
      <c r="X155" t="inlineStr">
        <is>
          <t>1991-11-19</t>
        </is>
      </c>
      <c r="Y155" t="n">
        <v>798</v>
      </c>
      <c r="Z155" t="n">
        <v>733</v>
      </c>
      <c r="AA155" t="n">
        <v>739</v>
      </c>
      <c r="AB155" t="n">
        <v>5</v>
      </c>
      <c r="AC155" t="n">
        <v>5</v>
      </c>
      <c r="AD155" t="n">
        <v>21</v>
      </c>
      <c r="AE155" t="n">
        <v>21</v>
      </c>
      <c r="AF155" t="n">
        <v>6</v>
      </c>
      <c r="AG155" t="n">
        <v>6</v>
      </c>
      <c r="AH155" t="n">
        <v>4</v>
      </c>
      <c r="AI155" t="n">
        <v>4</v>
      </c>
      <c r="AJ155" t="n">
        <v>13</v>
      </c>
      <c r="AK155" t="n">
        <v>13</v>
      </c>
      <c r="AL155" t="n">
        <v>4</v>
      </c>
      <c r="AM155" t="n">
        <v>4</v>
      </c>
      <c r="AN155" t="n">
        <v>0</v>
      </c>
      <c r="AO155" t="n">
        <v>0</v>
      </c>
      <c r="AP155" t="inlineStr">
        <is>
          <t>No</t>
        </is>
      </c>
      <c r="AQ155" t="inlineStr">
        <is>
          <t>Yes</t>
        </is>
      </c>
      <c r="AR155">
        <f>HYPERLINK("http://catalog.hathitrust.org/Record/007112219","HathiTrust Record")</f>
        <v/>
      </c>
      <c r="AS155">
        <f>HYPERLINK("https://creighton-primo.hosted.exlibrisgroup.com/primo-explore/search?tab=default_tab&amp;search_scope=EVERYTHING&amp;vid=01CRU&amp;lang=en_US&amp;offset=0&amp;query=any,contains,991005353779702656","Catalog Record")</f>
        <v/>
      </c>
      <c r="AT155">
        <f>HYPERLINK("http://www.worldcat.org/oclc/213303","WorldCat Record")</f>
        <v/>
      </c>
      <c r="AU155" t="inlineStr">
        <is>
          <t>3901294804:eng</t>
        </is>
      </c>
      <c r="AV155" t="inlineStr">
        <is>
          <t>213303</t>
        </is>
      </c>
      <c r="AW155" t="inlineStr">
        <is>
          <t>991005353779702656</t>
        </is>
      </c>
      <c r="AX155" t="inlineStr">
        <is>
          <t>991005353779702656</t>
        </is>
      </c>
      <c r="AY155" t="inlineStr">
        <is>
          <t>2255305270002656</t>
        </is>
      </c>
      <c r="AZ155" t="inlineStr">
        <is>
          <t>BOOK</t>
        </is>
      </c>
      <c r="BC155" t="inlineStr">
        <is>
          <t>32285000821214</t>
        </is>
      </c>
      <c r="BD155" t="inlineStr">
        <is>
          <t>893242582</t>
        </is>
      </c>
    </row>
    <row r="156">
      <c r="A156" t="inlineStr">
        <is>
          <t>No</t>
        </is>
      </c>
      <c r="B156" t="inlineStr">
        <is>
          <t>PG3328.A3 M3 1964</t>
        </is>
      </c>
      <c r="C156" t="inlineStr">
        <is>
          <t>0                      PG 3328000A  3                  M  3           1964</t>
        </is>
      </c>
      <c r="D156" t="inlineStr">
        <is>
          <t>Letters of Fyodor Michailovitch Dostoevsky / translated by Ethel Colburn Mayne ; with an introduction by Avrahm Yarmolinsky.</t>
        </is>
      </c>
      <c r="F156" t="inlineStr">
        <is>
          <t>No</t>
        </is>
      </c>
      <c r="G156" t="inlineStr">
        <is>
          <t>1</t>
        </is>
      </c>
      <c r="H156" t="inlineStr">
        <is>
          <t>No</t>
        </is>
      </c>
      <c r="I156" t="inlineStr">
        <is>
          <t>No</t>
        </is>
      </c>
      <c r="J156" t="inlineStr">
        <is>
          <t>0</t>
        </is>
      </c>
      <c r="K156" t="inlineStr">
        <is>
          <t>Dostoyevsky, Fyodor, 1821-1881.</t>
        </is>
      </c>
      <c r="L156" t="inlineStr">
        <is>
          <t>New York : McGraw-Hill, 1964.</t>
        </is>
      </c>
      <c r="M156" t="inlineStr">
        <is>
          <t>1964</t>
        </is>
      </c>
      <c r="O156" t="inlineStr">
        <is>
          <t>eng</t>
        </is>
      </c>
      <c r="P156" t="inlineStr">
        <is>
          <t xml:space="preserve">xx </t>
        </is>
      </c>
      <c r="R156" t="inlineStr">
        <is>
          <t xml:space="preserve">PG </t>
        </is>
      </c>
      <c r="S156" t="n">
        <v>1</v>
      </c>
      <c r="T156" t="n">
        <v>1</v>
      </c>
      <c r="U156" t="inlineStr">
        <is>
          <t>2006-09-09</t>
        </is>
      </c>
      <c r="V156" t="inlineStr">
        <is>
          <t>2006-09-09</t>
        </is>
      </c>
      <c r="W156" t="inlineStr">
        <is>
          <t>1997-10-02</t>
        </is>
      </c>
      <c r="X156" t="inlineStr">
        <is>
          <t>1997-10-02</t>
        </is>
      </c>
      <c r="Y156" t="n">
        <v>94</v>
      </c>
      <c r="Z156" t="n">
        <v>89</v>
      </c>
      <c r="AA156" t="n">
        <v>95</v>
      </c>
      <c r="AB156" t="n">
        <v>1</v>
      </c>
      <c r="AC156" t="n">
        <v>1</v>
      </c>
      <c r="AD156" t="n">
        <v>7</v>
      </c>
      <c r="AE156" t="n">
        <v>7</v>
      </c>
      <c r="AF156" t="n">
        <v>2</v>
      </c>
      <c r="AG156" t="n">
        <v>2</v>
      </c>
      <c r="AH156" t="n">
        <v>2</v>
      </c>
      <c r="AI156" t="n">
        <v>2</v>
      </c>
      <c r="AJ156" t="n">
        <v>3</v>
      </c>
      <c r="AK156" t="n">
        <v>3</v>
      </c>
      <c r="AL156" t="n">
        <v>0</v>
      </c>
      <c r="AM156" t="n">
        <v>0</v>
      </c>
      <c r="AN156" t="n">
        <v>0</v>
      </c>
      <c r="AO156" t="n">
        <v>0</v>
      </c>
      <c r="AP156" t="inlineStr">
        <is>
          <t>No</t>
        </is>
      </c>
      <c r="AQ156" t="inlineStr">
        <is>
          <t>Yes</t>
        </is>
      </c>
      <c r="AR156">
        <f>HYPERLINK("http://catalog.hathitrust.org/Record/007124481","HathiTrust Record")</f>
        <v/>
      </c>
      <c r="AS156">
        <f>HYPERLINK("https://creighton-primo.hosted.exlibrisgroup.com/primo-explore/search?tab=default_tab&amp;search_scope=EVERYTHING&amp;vid=01CRU&amp;lang=en_US&amp;offset=0&amp;query=any,contains,991004493209702656","Catalog Record")</f>
        <v/>
      </c>
      <c r="AT156">
        <f>HYPERLINK("http://www.worldcat.org/oclc/3673474","WorldCat Record")</f>
        <v/>
      </c>
      <c r="AU156" t="inlineStr">
        <is>
          <t>3901310689:eng</t>
        </is>
      </c>
      <c r="AV156" t="inlineStr">
        <is>
          <t>3673474</t>
        </is>
      </c>
      <c r="AW156" t="inlineStr">
        <is>
          <t>991004493209702656</t>
        </is>
      </c>
      <c r="AX156" t="inlineStr">
        <is>
          <t>991004493209702656</t>
        </is>
      </c>
      <c r="AY156" t="inlineStr">
        <is>
          <t>2263974340002656</t>
        </is>
      </c>
      <c r="AZ156" t="inlineStr">
        <is>
          <t>BOOK</t>
        </is>
      </c>
      <c r="BC156" t="inlineStr">
        <is>
          <t>32285003239430</t>
        </is>
      </c>
      <c r="BD156" t="inlineStr">
        <is>
          <t>893319306</t>
        </is>
      </c>
    </row>
    <row r="157">
      <c r="A157" t="inlineStr">
        <is>
          <t>No</t>
        </is>
      </c>
      <c r="B157" t="inlineStr">
        <is>
          <t>PG3328.Z6 B47</t>
        </is>
      </c>
      <c r="C157" t="inlineStr">
        <is>
          <t>0                      PG 3328000Z  6                  B  47</t>
        </is>
      </c>
      <c r="D157" t="inlineStr">
        <is>
          <t>Dostoievsky : an interpretation / by Nicholas Berdyaev ; translated by Donald Attwater.</t>
        </is>
      </c>
      <c r="F157" t="inlineStr">
        <is>
          <t>No</t>
        </is>
      </c>
      <c r="G157" t="inlineStr">
        <is>
          <t>1</t>
        </is>
      </c>
      <c r="H157" t="inlineStr">
        <is>
          <t>No</t>
        </is>
      </c>
      <c r="I157" t="inlineStr">
        <is>
          <t>Yes</t>
        </is>
      </c>
      <c r="J157" t="inlineStr">
        <is>
          <t>0</t>
        </is>
      </c>
      <c r="K157" t="inlineStr">
        <is>
          <t>Berdi︠a︡ev, Nikolaĭ, 1874-1948.</t>
        </is>
      </c>
      <c r="L157" t="inlineStr">
        <is>
          <t>New York : Sheed &amp; Ward, 1934.</t>
        </is>
      </c>
      <c r="M157" t="inlineStr">
        <is>
          <t>1934</t>
        </is>
      </c>
      <c r="O157" t="inlineStr">
        <is>
          <t>eng</t>
        </is>
      </c>
      <c r="P157" t="inlineStr">
        <is>
          <t>nyu</t>
        </is>
      </c>
      <c r="R157" t="inlineStr">
        <is>
          <t xml:space="preserve">PG </t>
        </is>
      </c>
      <c r="S157" t="n">
        <v>7</v>
      </c>
      <c r="T157" t="n">
        <v>7</v>
      </c>
      <c r="U157" t="inlineStr">
        <is>
          <t>2010-03-19</t>
        </is>
      </c>
      <c r="V157" t="inlineStr">
        <is>
          <t>2010-03-19</t>
        </is>
      </c>
      <c r="W157" t="inlineStr">
        <is>
          <t>1997-10-02</t>
        </is>
      </c>
      <c r="X157" t="inlineStr">
        <is>
          <t>1997-10-02</t>
        </is>
      </c>
      <c r="Y157" t="n">
        <v>136</v>
      </c>
      <c r="Z157" t="n">
        <v>113</v>
      </c>
      <c r="AA157" t="n">
        <v>901</v>
      </c>
      <c r="AB157" t="n">
        <v>2</v>
      </c>
      <c r="AC157" t="n">
        <v>5</v>
      </c>
      <c r="AD157" t="n">
        <v>13</v>
      </c>
      <c r="AE157" t="n">
        <v>41</v>
      </c>
      <c r="AF157" t="n">
        <v>5</v>
      </c>
      <c r="AG157" t="n">
        <v>16</v>
      </c>
      <c r="AH157" t="n">
        <v>2</v>
      </c>
      <c r="AI157" t="n">
        <v>7</v>
      </c>
      <c r="AJ157" t="n">
        <v>9</v>
      </c>
      <c r="AK157" t="n">
        <v>21</v>
      </c>
      <c r="AL157" t="n">
        <v>1</v>
      </c>
      <c r="AM157" t="n">
        <v>4</v>
      </c>
      <c r="AN157" t="n">
        <v>0</v>
      </c>
      <c r="AO157" t="n">
        <v>0</v>
      </c>
      <c r="AP157" t="inlineStr">
        <is>
          <t>No</t>
        </is>
      </c>
      <c r="AQ157" t="inlineStr">
        <is>
          <t>No</t>
        </is>
      </c>
      <c r="AS157">
        <f>HYPERLINK("https://creighton-primo.hosted.exlibrisgroup.com/primo-explore/search?tab=default_tab&amp;search_scope=EVERYTHING&amp;vid=01CRU&amp;lang=en_US&amp;offset=0&amp;query=any,contains,991004954189702656","Catalog Record")</f>
        <v/>
      </c>
      <c r="AT157">
        <f>HYPERLINK("http://www.worldcat.org/oclc/6271274","WorldCat Record")</f>
        <v/>
      </c>
      <c r="AU157" t="inlineStr">
        <is>
          <t>4575216500:eng</t>
        </is>
      </c>
      <c r="AV157" t="inlineStr">
        <is>
          <t>6271274</t>
        </is>
      </c>
      <c r="AW157" t="inlineStr">
        <is>
          <t>991004954189702656</t>
        </is>
      </c>
      <c r="AX157" t="inlineStr">
        <is>
          <t>991004954189702656</t>
        </is>
      </c>
      <c r="AY157" t="inlineStr">
        <is>
          <t>2263959630002656</t>
        </is>
      </c>
      <c r="AZ157" t="inlineStr">
        <is>
          <t>BOOK</t>
        </is>
      </c>
      <c r="BC157" t="inlineStr">
        <is>
          <t>32285003239505</t>
        </is>
      </c>
      <c r="BD157" t="inlineStr">
        <is>
          <t>893230039</t>
        </is>
      </c>
    </row>
    <row r="158">
      <c r="A158" t="inlineStr">
        <is>
          <t>No</t>
        </is>
      </c>
      <c r="B158" t="inlineStr">
        <is>
          <t>PG3328.Z6 F25</t>
        </is>
      </c>
      <c r="C158" t="inlineStr">
        <is>
          <t>0                      PG 3328000Z  6                  F  25</t>
        </is>
      </c>
      <c r="D158" t="inlineStr">
        <is>
          <t>Dostoevsky and romantic realism: a study of Dostoevsky in relation to Balzac, Dickens, and Gogol.</t>
        </is>
      </c>
      <c r="F158" t="inlineStr">
        <is>
          <t>No</t>
        </is>
      </c>
      <c r="G158" t="inlineStr">
        <is>
          <t>1</t>
        </is>
      </c>
      <c r="H158" t="inlineStr">
        <is>
          <t>No</t>
        </is>
      </c>
      <c r="I158" t="inlineStr">
        <is>
          <t>No</t>
        </is>
      </c>
      <c r="J158" t="inlineStr">
        <is>
          <t>0</t>
        </is>
      </c>
      <c r="K158" t="inlineStr">
        <is>
          <t>Fanger, Donald.</t>
        </is>
      </c>
      <c r="L158" t="inlineStr">
        <is>
          <t>Cambridge, Harvard University Press, 1965.</t>
        </is>
      </c>
      <c r="M158" t="inlineStr">
        <is>
          <t>1965</t>
        </is>
      </c>
      <c r="O158" t="inlineStr">
        <is>
          <t>eng</t>
        </is>
      </c>
      <c r="P158" t="inlineStr">
        <is>
          <t>mau</t>
        </is>
      </c>
      <c r="Q158" t="inlineStr">
        <is>
          <t>Harvard studies in comparative literature ; 27</t>
        </is>
      </c>
      <c r="R158" t="inlineStr">
        <is>
          <t xml:space="preserve">PG </t>
        </is>
      </c>
      <c r="S158" t="n">
        <v>3</v>
      </c>
      <c r="T158" t="n">
        <v>3</v>
      </c>
      <c r="U158" t="inlineStr">
        <is>
          <t>2006-04-14</t>
        </is>
      </c>
      <c r="V158" t="inlineStr">
        <is>
          <t>2006-04-14</t>
        </is>
      </c>
      <c r="W158" t="inlineStr">
        <is>
          <t>1997-10-06</t>
        </is>
      </c>
      <c r="X158" t="inlineStr">
        <is>
          <t>1997-10-06</t>
        </is>
      </c>
      <c r="Y158" t="n">
        <v>1307</v>
      </c>
      <c r="Z158" t="n">
        <v>1150</v>
      </c>
      <c r="AA158" t="n">
        <v>1314</v>
      </c>
      <c r="AB158" t="n">
        <v>10</v>
      </c>
      <c r="AC158" t="n">
        <v>11</v>
      </c>
      <c r="AD158" t="n">
        <v>40</v>
      </c>
      <c r="AE158" t="n">
        <v>49</v>
      </c>
      <c r="AF158" t="n">
        <v>14</v>
      </c>
      <c r="AG158" t="n">
        <v>20</v>
      </c>
      <c r="AH158" t="n">
        <v>8</v>
      </c>
      <c r="AI158" t="n">
        <v>10</v>
      </c>
      <c r="AJ158" t="n">
        <v>17</v>
      </c>
      <c r="AK158" t="n">
        <v>20</v>
      </c>
      <c r="AL158" t="n">
        <v>8</v>
      </c>
      <c r="AM158" t="n">
        <v>9</v>
      </c>
      <c r="AN158" t="n">
        <v>0</v>
      </c>
      <c r="AO158" t="n">
        <v>0</v>
      </c>
      <c r="AP158" t="inlineStr">
        <is>
          <t>No</t>
        </is>
      </c>
      <c r="AQ158" t="inlineStr">
        <is>
          <t>Yes</t>
        </is>
      </c>
      <c r="AR158">
        <f>HYPERLINK("http://catalog.hathitrust.org/Record/000980807","HathiTrust Record")</f>
        <v/>
      </c>
      <c r="AS158">
        <f>HYPERLINK("https://creighton-primo.hosted.exlibrisgroup.com/primo-explore/search?tab=default_tab&amp;search_scope=EVERYTHING&amp;vid=01CRU&amp;lang=en_US&amp;offset=0&amp;query=any,contains,991005354489702656","Catalog Record")</f>
        <v/>
      </c>
      <c r="AT158">
        <f>HYPERLINK("http://www.worldcat.org/oclc/321907","WorldCat Record")</f>
        <v/>
      </c>
      <c r="AU158" t="inlineStr">
        <is>
          <t>430547853:eng</t>
        </is>
      </c>
      <c r="AV158" t="inlineStr">
        <is>
          <t>321907</t>
        </is>
      </c>
      <c r="AW158" t="inlineStr">
        <is>
          <t>991005354489702656</t>
        </is>
      </c>
      <c r="AX158" t="inlineStr">
        <is>
          <t>991005354489702656</t>
        </is>
      </c>
      <c r="AY158" t="inlineStr">
        <is>
          <t>2257113040002656</t>
        </is>
      </c>
      <c r="AZ158" t="inlineStr">
        <is>
          <t>BOOK</t>
        </is>
      </c>
      <c r="BC158" t="inlineStr">
        <is>
          <t>32285003239513</t>
        </is>
      </c>
      <c r="BD158" t="inlineStr">
        <is>
          <t>893248773</t>
        </is>
      </c>
    </row>
    <row r="159">
      <c r="A159" t="inlineStr">
        <is>
          <t>No</t>
        </is>
      </c>
      <c r="B159" t="inlineStr">
        <is>
          <t>PG3328.Z6 F96 2003</t>
        </is>
      </c>
      <c r="C159" t="inlineStr">
        <is>
          <t>0                      PG 3328000Z  6                  F  96          2003</t>
        </is>
      </c>
      <c r="D159" t="inlineStr">
        <is>
          <t>Fyodor Dostoevsky / edited and with an introduction by Harold Bloom.</t>
        </is>
      </c>
      <c r="F159" t="inlineStr">
        <is>
          <t>No</t>
        </is>
      </c>
      <c r="G159" t="inlineStr">
        <is>
          <t>1</t>
        </is>
      </c>
      <c r="H159" t="inlineStr">
        <is>
          <t>No</t>
        </is>
      </c>
      <c r="I159" t="inlineStr">
        <is>
          <t>No</t>
        </is>
      </c>
      <c r="J159" t="inlineStr">
        <is>
          <t>0</t>
        </is>
      </c>
      <c r="L159" t="inlineStr">
        <is>
          <t>Philadelphia : Chelsea House, c2003.</t>
        </is>
      </c>
      <c r="M159" t="inlineStr">
        <is>
          <t>2003</t>
        </is>
      </c>
      <c r="O159" t="inlineStr">
        <is>
          <t>eng</t>
        </is>
      </c>
      <c r="P159" t="inlineStr">
        <is>
          <t>pau</t>
        </is>
      </c>
      <c r="Q159" t="inlineStr">
        <is>
          <t>Bloom's major novelists</t>
        </is>
      </c>
      <c r="R159" t="inlineStr">
        <is>
          <t xml:space="preserve">PG </t>
        </is>
      </c>
      <c r="S159" t="n">
        <v>5</v>
      </c>
      <c r="T159" t="n">
        <v>5</v>
      </c>
      <c r="U159" t="inlineStr">
        <is>
          <t>2010-03-19</t>
        </is>
      </c>
      <c r="V159" t="inlineStr">
        <is>
          <t>2010-03-19</t>
        </is>
      </c>
      <c r="W159" t="inlineStr">
        <is>
          <t>2003-04-30</t>
        </is>
      </c>
      <c r="X159" t="inlineStr">
        <is>
          <t>2003-04-30</t>
        </is>
      </c>
      <c r="Y159" t="n">
        <v>316</v>
      </c>
      <c r="Z159" t="n">
        <v>286</v>
      </c>
      <c r="AA159" t="n">
        <v>1030</v>
      </c>
      <c r="AB159" t="n">
        <v>1</v>
      </c>
      <c r="AC159" t="n">
        <v>6</v>
      </c>
      <c r="AD159" t="n">
        <v>6</v>
      </c>
      <c r="AE159" t="n">
        <v>25</v>
      </c>
      <c r="AF159" t="n">
        <v>2</v>
      </c>
      <c r="AG159" t="n">
        <v>11</v>
      </c>
      <c r="AH159" t="n">
        <v>2</v>
      </c>
      <c r="AI159" t="n">
        <v>7</v>
      </c>
      <c r="AJ159" t="n">
        <v>4</v>
      </c>
      <c r="AK159" t="n">
        <v>12</v>
      </c>
      <c r="AL159" t="n">
        <v>0</v>
      </c>
      <c r="AM159" t="n">
        <v>3</v>
      </c>
      <c r="AN159" t="n">
        <v>0</v>
      </c>
      <c r="AO159" t="n">
        <v>0</v>
      </c>
      <c r="AP159" t="inlineStr">
        <is>
          <t>No</t>
        </is>
      </c>
      <c r="AQ159" t="inlineStr">
        <is>
          <t>No</t>
        </is>
      </c>
      <c r="AS159">
        <f>HYPERLINK("https://creighton-primo.hosted.exlibrisgroup.com/primo-explore/search?tab=default_tab&amp;search_scope=EVERYTHING&amp;vid=01CRU&amp;lang=en_US&amp;offset=0&amp;query=any,contains,991004015389702656","Catalog Record")</f>
        <v/>
      </c>
      <c r="AT159">
        <f>HYPERLINK("http://www.worldcat.org/oclc/50598338","WorldCat Record")</f>
        <v/>
      </c>
      <c r="AU159" t="inlineStr">
        <is>
          <t>54973357:eng</t>
        </is>
      </c>
      <c r="AV159" t="inlineStr">
        <is>
          <t>50598338</t>
        </is>
      </c>
      <c r="AW159" t="inlineStr">
        <is>
          <t>991004015389702656</t>
        </is>
      </c>
      <c r="AX159" t="inlineStr">
        <is>
          <t>991004015389702656</t>
        </is>
      </c>
      <c r="AY159" t="inlineStr">
        <is>
          <t>2266127200002656</t>
        </is>
      </c>
      <c r="AZ159" t="inlineStr">
        <is>
          <t>BOOK</t>
        </is>
      </c>
      <c r="BB159" t="inlineStr">
        <is>
          <t>9780791063460</t>
        </is>
      </c>
      <c r="BC159" t="inlineStr">
        <is>
          <t>32285004744420</t>
        </is>
      </c>
      <c r="BD159" t="inlineStr">
        <is>
          <t>893259211</t>
        </is>
      </c>
    </row>
    <row r="160">
      <c r="A160" t="inlineStr">
        <is>
          <t>No</t>
        </is>
      </c>
      <c r="B160" t="inlineStr">
        <is>
          <t>PG3328.Z6 G483 1961</t>
        </is>
      </c>
      <c r="C160" t="inlineStr">
        <is>
          <t>0                      PG 3328000Z  6                  G  483         1961</t>
        </is>
      </c>
      <c r="D160" t="inlineStr">
        <is>
          <t>Dostoevsky. Introductory note to the 1st English ed., 1925, by Arnold Bennett. New introd. by Albert J. Guerard.</t>
        </is>
      </c>
      <c r="F160" t="inlineStr">
        <is>
          <t>No</t>
        </is>
      </c>
      <c r="G160" t="inlineStr">
        <is>
          <t>1</t>
        </is>
      </c>
      <c r="H160" t="inlineStr">
        <is>
          <t>Yes</t>
        </is>
      </c>
      <c r="I160" t="inlineStr">
        <is>
          <t>No</t>
        </is>
      </c>
      <c r="J160" t="inlineStr">
        <is>
          <t>0</t>
        </is>
      </c>
      <c r="K160" t="inlineStr">
        <is>
          <t>Gide, André, 1869-1951.</t>
        </is>
      </c>
      <c r="L160" t="inlineStr">
        <is>
          <t>New York, [New Directions, c1961]</t>
        </is>
      </c>
      <c r="M160" t="inlineStr">
        <is>
          <t>1961</t>
        </is>
      </c>
      <c r="O160" t="inlineStr">
        <is>
          <t>eng</t>
        </is>
      </c>
      <c r="P160" t="inlineStr">
        <is>
          <t>nyu</t>
        </is>
      </c>
      <c r="R160" t="inlineStr">
        <is>
          <t xml:space="preserve">PG </t>
        </is>
      </c>
      <c r="S160" t="n">
        <v>0</v>
      </c>
      <c r="T160" t="n">
        <v>2</v>
      </c>
      <c r="V160" t="inlineStr">
        <is>
          <t>2000-04-26</t>
        </is>
      </c>
      <c r="W160" t="inlineStr">
        <is>
          <t>1997-09-08</t>
        </is>
      </c>
      <c r="X160" t="inlineStr">
        <is>
          <t>1997-09-08</t>
        </is>
      </c>
      <c r="Y160" t="n">
        <v>506</v>
      </c>
      <c r="Z160" t="n">
        <v>482</v>
      </c>
      <c r="AA160" t="n">
        <v>901</v>
      </c>
      <c r="AB160" t="n">
        <v>6</v>
      </c>
      <c r="AC160" t="n">
        <v>8</v>
      </c>
      <c r="AD160" t="n">
        <v>22</v>
      </c>
      <c r="AE160" t="n">
        <v>40</v>
      </c>
      <c r="AF160" t="n">
        <v>6</v>
      </c>
      <c r="AG160" t="n">
        <v>12</v>
      </c>
      <c r="AH160" t="n">
        <v>1</v>
      </c>
      <c r="AI160" t="n">
        <v>10</v>
      </c>
      <c r="AJ160" t="n">
        <v>13</v>
      </c>
      <c r="AK160" t="n">
        <v>21</v>
      </c>
      <c r="AL160" t="n">
        <v>5</v>
      </c>
      <c r="AM160" t="n">
        <v>6</v>
      </c>
      <c r="AN160" t="n">
        <v>0</v>
      </c>
      <c r="AO160" t="n">
        <v>0</v>
      </c>
      <c r="AP160" t="inlineStr">
        <is>
          <t>No</t>
        </is>
      </c>
      <c r="AQ160" t="inlineStr">
        <is>
          <t>No</t>
        </is>
      </c>
      <c r="AS160">
        <f>HYPERLINK("https://creighton-primo.hosted.exlibrisgroup.com/primo-explore/search?tab=default_tab&amp;search_scope=EVERYTHING&amp;vid=01CRU&amp;lang=en_US&amp;offset=0&amp;query=any,contains,991003516789702656","Catalog Record")</f>
        <v/>
      </c>
      <c r="AT160">
        <f>HYPERLINK("http://www.worldcat.org/oclc/1075125","WorldCat Record")</f>
        <v/>
      </c>
      <c r="AU160" t="inlineStr">
        <is>
          <t>4159845278:eng</t>
        </is>
      </c>
      <c r="AV160" t="inlineStr">
        <is>
          <t>1075125</t>
        </is>
      </c>
      <c r="AW160" t="inlineStr">
        <is>
          <t>991003516789702656</t>
        </is>
      </c>
      <c r="AX160" t="inlineStr">
        <is>
          <t>991003516789702656</t>
        </is>
      </c>
      <c r="AY160" t="inlineStr">
        <is>
          <t>2257927930002656</t>
        </is>
      </c>
      <c r="AZ160" t="inlineStr">
        <is>
          <t>BOOK</t>
        </is>
      </c>
      <c r="BC160" t="inlineStr">
        <is>
          <t>32285003198883</t>
        </is>
      </c>
      <c r="BD160" t="inlineStr">
        <is>
          <t>893705305</t>
        </is>
      </c>
    </row>
    <row r="161">
      <c r="A161" t="inlineStr">
        <is>
          <t>No</t>
        </is>
      </c>
      <c r="B161" t="inlineStr">
        <is>
          <t>PG3328.Z6 G483 1961</t>
        </is>
      </c>
      <c r="C161" t="inlineStr">
        <is>
          <t>0                      PG 3328000Z  6                  G  483         1961</t>
        </is>
      </c>
      <c r="D161" t="inlineStr">
        <is>
          <t>Dostoevsky. Introductory note to the 1st English ed., 1925, by Arnold Bennett. New introd. by Albert J. Guerard.</t>
        </is>
      </c>
      <c r="F161" t="inlineStr">
        <is>
          <t>No</t>
        </is>
      </c>
      <c r="G161" t="inlineStr">
        <is>
          <t>1</t>
        </is>
      </c>
      <c r="H161" t="inlineStr">
        <is>
          <t>Yes</t>
        </is>
      </c>
      <c r="I161" t="inlineStr">
        <is>
          <t>No</t>
        </is>
      </c>
      <c r="J161" t="inlineStr">
        <is>
          <t>0</t>
        </is>
      </c>
      <c r="K161" t="inlineStr">
        <is>
          <t>Gide, André, 1869-1951.</t>
        </is>
      </c>
      <c r="L161" t="inlineStr">
        <is>
          <t>New York, [New Directions, c1961]</t>
        </is>
      </c>
      <c r="M161" t="inlineStr">
        <is>
          <t>1961</t>
        </is>
      </c>
      <c r="O161" t="inlineStr">
        <is>
          <t>eng</t>
        </is>
      </c>
      <c r="P161" t="inlineStr">
        <is>
          <t>nyu</t>
        </is>
      </c>
      <c r="R161" t="inlineStr">
        <is>
          <t xml:space="preserve">PG </t>
        </is>
      </c>
      <c r="S161" t="n">
        <v>2</v>
      </c>
      <c r="T161" t="n">
        <v>2</v>
      </c>
      <c r="U161" t="inlineStr">
        <is>
          <t>2000-04-26</t>
        </is>
      </c>
      <c r="V161" t="inlineStr">
        <is>
          <t>2000-04-26</t>
        </is>
      </c>
      <c r="W161" t="inlineStr">
        <is>
          <t>1997-09-08</t>
        </is>
      </c>
      <c r="X161" t="inlineStr">
        <is>
          <t>1997-09-08</t>
        </is>
      </c>
      <c r="Y161" t="n">
        <v>506</v>
      </c>
      <c r="Z161" t="n">
        <v>482</v>
      </c>
      <c r="AA161" t="n">
        <v>901</v>
      </c>
      <c r="AB161" t="n">
        <v>6</v>
      </c>
      <c r="AC161" t="n">
        <v>8</v>
      </c>
      <c r="AD161" t="n">
        <v>22</v>
      </c>
      <c r="AE161" t="n">
        <v>40</v>
      </c>
      <c r="AF161" t="n">
        <v>6</v>
      </c>
      <c r="AG161" t="n">
        <v>12</v>
      </c>
      <c r="AH161" t="n">
        <v>1</v>
      </c>
      <c r="AI161" t="n">
        <v>10</v>
      </c>
      <c r="AJ161" t="n">
        <v>13</v>
      </c>
      <c r="AK161" t="n">
        <v>21</v>
      </c>
      <c r="AL161" t="n">
        <v>5</v>
      </c>
      <c r="AM161" t="n">
        <v>6</v>
      </c>
      <c r="AN161" t="n">
        <v>0</v>
      </c>
      <c r="AO161" t="n">
        <v>0</v>
      </c>
      <c r="AP161" t="inlineStr">
        <is>
          <t>No</t>
        </is>
      </c>
      <c r="AQ161" t="inlineStr">
        <is>
          <t>No</t>
        </is>
      </c>
      <c r="AS161">
        <f>HYPERLINK("https://creighton-primo.hosted.exlibrisgroup.com/primo-explore/search?tab=default_tab&amp;search_scope=EVERYTHING&amp;vid=01CRU&amp;lang=en_US&amp;offset=0&amp;query=any,contains,991003516789702656","Catalog Record")</f>
        <v/>
      </c>
      <c r="AT161">
        <f>HYPERLINK("http://www.worldcat.org/oclc/1075125","WorldCat Record")</f>
        <v/>
      </c>
      <c r="AU161" t="inlineStr">
        <is>
          <t>4159845278:eng</t>
        </is>
      </c>
      <c r="AV161" t="inlineStr">
        <is>
          <t>1075125</t>
        </is>
      </c>
      <c r="AW161" t="inlineStr">
        <is>
          <t>991003516789702656</t>
        </is>
      </c>
      <c r="AX161" t="inlineStr">
        <is>
          <t>991003516789702656</t>
        </is>
      </c>
      <c r="AY161" t="inlineStr">
        <is>
          <t>2257927930002656</t>
        </is>
      </c>
      <c r="AZ161" t="inlineStr">
        <is>
          <t>BOOK</t>
        </is>
      </c>
      <c r="BC161" t="inlineStr">
        <is>
          <t>32285003198867</t>
        </is>
      </c>
      <c r="BD161" t="inlineStr">
        <is>
          <t>893692791</t>
        </is>
      </c>
    </row>
    <row r="162">
      <c r="A162" t="inlineStr">
        <is>
          <t>No</t>
        </is>
      </c>
      <c r="B162" t="inlineStr">
        <is>
          <t>PG3328.Z6 K274</t>
        </is>
      </c>
      <c r="C162" t="inlineStr">
        <is>
          <t>0                      PG 3328000Z  6                  K  274</t>
        </is>
      </c>
      <c r="D162" t="inlineStr">
        <is>
          <t>Re-reading Dostoyevsky [by] Y. Karyakin.</t>
        </is>
      </c>
      <c r="F162" t="inlineStr">
        <is>
          <t>No</t>
        </is>
      </c>
      <c r="G162" t="inlineStr">
        <is>
          <t>1</t>
        </is>
      </c>
      <c r="H162" t="inlineStr">
        <is>
          <t>No</t>
        </is>
      </c>
      <c r="I162" t="inlineStr">
        <is>
          <t>No</t>
        </is>
      </c>
      <c r="J162" t="inlineStr">
        <is>
          <t>0</t>
        </is>
      </c>
      <c r="K162" t="inlineStr">
        <is>
          <t>Kari︠a︡kin, I︠U︡. (I︠U︡riĭ)</t>
        </is>
      </c>
      <c r="L162" t="inlineStr">
        <is>
          <t>[Moscow, Novosti Press Agency Pub. House, 1971].</t>
        </is>
      </c>
      <c r="M162" t="inlineStr">
        <is>
          <t>1971</t>
        </is>
      </c>
      <c r="O162" t="inlineStr">
        <is>
          <t>eng</t>
        </is>
      </c>
      <c r="P162" t="inlineStr">
        <is>
          <t xml:space="preserve">ru </t>
        </is>
      </c>
      <c r="R162" t="inlineStr">
        <is>
          <t xml:space="preserve">PG </t>
        </is>
      </c>
      <c r="S162" t="n">
        <v>4</v>
      </c>
      <c r="T162" t="n">
        <v>4</v>
      </c>
      <c r="U162" t="inlineStr">
        <is>
          <t>2008-04-14</t>
        </is>
      </c>
      <c r="V162" t="inlineStr">
        <is>
          <t>2008-04-14</t>
        </is>
      </c>
      <c r="W162" t="inlineStr">
        <is>
          <t>1997-09-08</t>
        </is>
      </c>
      <c r="X162" t="inlineStr">
        <is>
          <t>1997-09-08</t>
        </is>
      </c>
      <c r="Y162" t="n">
        <v>111</v>
      </c>
      <c r="Z162" t="n">
        <v>67</v>
      </c>
      <c r="AA162" t="n">
        <v>69</v>
      </c>
      <c r="AB162" t="n">
        <v>1</v>
      </c>
      <c r="AC162" t="n">
        <v>1</v>
      </c>
      <c r="AD162" t="n">
        <v>2</v>
      </c>
      <c r="AE162" t="n">
        <v>2</v>
      </c>
      <c r="AF162" t="n">
        <v>0</v>
      </c>
      <c r="AG162" t="n">
        <v>0</v>
      </c>
      <c r="AH162" t="n">
        <v>1</v>
      </c>
      <c r="AI162" t="n">
        <v>1</v>
      </c>
      <c r="AJ162" t="n">
        <v>1</v>
      </c>
      <c r="AK162" t="n">
        <v>1</v>
      </c>
      <c r="AL162" t="n">
        <v>0</v>
      </c>
      <c r="AM162" t="n">
        <v>0</v>
      </c>
      <c r="AN162" t="n">
        <v>0</v>
      </c>
      <c r="AO162" t="n">
        <v>0</v>
      </c>
      <c r="AP162" t="inlineStr">
        <is>
          <t>No</t>
        </is>
      </c>
      <c r="AQ162" t="inlineStr">
        <is>
          <t>Yes</t>
        </is>
      </c>
      <c r="AR162">
        <f>HYPERLINK("http://catalog.hathitrust.org/Record/000351593","HathiTrust Record")</f>
        <v/>
      </c>
      <c r="AS162">
        <f>HYPERLINK("https://creighton-primo.hosted.exlibrisgroup.com/primo-explore/search?tab=default_tab&amp;search_scope=EVERYTHING&amp;vid=01CRU&amp;lang=en_US&amp;offset=0&amp;query=any,contains,991002935879702656","Catalog Record")</f>
        <v/>
      </c>
      <c r="AT162">
        <f>HYPERLINK("http://www.worldcat.org/oclc/532969","WorldCat Record")</f>
        <v/>
      </c>
      <c r="AU162" t="inlineStr">
        <is>
          <t>479317723:eng</t>
        </is>
      </c>
      <c r="AV162" t="inlineStr">
        <is>
          <t>532969</t>
        </is>
      </c>
      <c r="AW162" t="inlineStr">
        <is>
          <t>991002935879702656</t>
        </is>
      </c>
      <c r="AX162" t="inlineStr">
        <is>
          <t>991002935879702656</t>
        </is>
      </c>
      <c r="AY162" t="inlineStr">
        <is>
          <t>2265800980002656</t>
        </is>
      </c>
      <c r="AZ162" t="inlineStr">
        <is>
          <t>BOOK</t>
        </is>
      </c>
      <c r="BC162" t="inlineStr">
        <is>
          <t>32285003198909</t>
        </is>
      </c>
      <c r="BD162" t="inlineStr">
        <is>
          <t>893535259</t>
        </is>
      </c>
    </row>
    <row r="163">
      <c r="A163" t="inlineStr">
        <is>
          <t>No</t>
        </is>
      </c>
      <c r="B163" t="inlineStr">
        <is>
          <t>PG3328.Z6 L36</t>
        </is>
      </c>
      <c r="C163" t="inlineStr">
        <is>
          <t>0                      PG 3328000Z  6                  L  36</t>
        </is>
      </c>
      <c r="D163" t="inlineStr">
        <is>
          <t>Fedor Dostoevsky / by William J. Leatherbarrow.</t>
        </is>
      </c>
      <c r="F163" t="inlineStr">
        <is>
          <t>No</t>
        </is>
      </c>
      <c r="G163" t="inlineStr">
        <is>
          <t>1</t>
        </is>
      </c>
      <c r="H163" t="inlineStr">
        <is>
          <t>No</t>
        </is>
      </c>
      <c r="I163" t="inlineStr">
        <is>
          <t>No</t>
        </is>
      </c>
      <c r="J163" t="inlineStr">
        <is>
          <t>0</t>
        </is>
      </c>
      <c r="K163" t="inlineStr">
        <is>
          <t>Leatherbarrow, William J.</t>
        </is>
      </c>
      <c r="L163" t="inlineStr">
        <is>
          <t>Boston : Twayne Publishers, 1981.</t>
        </is>
      </c>
      <c r="M163" t="inlineStr">
        <is>
          <t>1981</t>
        </is>
      </c>
      <c r="O163" t="inlineStr">
        <is>
          <t>eng</t>
        </is>
      </c>
      <c r="P163" t="inlineStr">
        <is>
          <t>mau</t>
        </is>
      </c>
      <c r="Q163" t="inlineStr">
        <is>
          <t>Twayne's world authors series ; TWAS 636 : Russia</t>
        </is>
      </c>
      <c r="R163" t="inlineStr">
        <is>
          <t xml:space="preserve">PG </t>
        </is>
      </c>
      <c r="S163" t="n">
        <v>7</v>
      </c>
      <c r="T163" t="n">
        <v>7</v>
      </c>
      <c r="U163" t="inlineStr">
        <is>
          <t>2010-03-19</t>
        </is>
      </c>
      <c r="V163" t="inlineStr">
        <is>
          <t>2010-03-19</t>
        </is>
      </c>
      <c r="W163" t="inlineStr">
        <is>
          <t>1990-05-17</t>
        </is>
      </c>
      <c r="X163" t="inlineStr">
        <is>
          <t>1990-05-17</t>
        </is>
      </c>
      <c r="Y163" t="n">
        <v>1255</v>
      </c>
      <c r="Z163" t="n">
        <v>1143</v>
      </c>
      <c r="AA163" t="n">
        <v>1334</v>
      </c>
      <c r="AB163" t="n">
        <v>5</v>
      </c>
      <c r="AC163" t="n">
        <v>7</v>
      </c>
      <c r="AD163" t="n">
        <v>35</v>
      </c>
      <c r="AE163" t="n">
        <v>42</v>
      </c>
      <c r="AF163" t="n">
        <v>16</v>
      </c>
      <c r="AG163" t="n">
        <v>19</v>
      </c>
      <c r="AH163" t="n">
        <v>5</v>
      </c>
      <c r="AI163" t="n">
        <v>7</v>
      </c>
      <c r="AJ163" t="n">
        <v>18</v>
      </c>
      <c r="AK163" t="n">
        <v>21</v>
      </c>
      <c r="AL163" t="n">
        <v>3</v>
      </c>
      <c r="AM163" t="n">
        <v>5</v>
      </c>
      <c r="AN163" t="n">
        <v>0</v>
      </c>
      <c r="AO163" t="n">
        <v>0</v>
      </c>
      <c r="AP163" t="inlineStr">
        <is>
          <t>No</t>
        </is>
      </c>
      <c r="AQ163" t="inlineStr">
        <is>
          <t>Yes</t>
        </is>
      </c>
      <c r="AR163">
        <f>HYPERLINK("http://catalog.hathitrust.org/Record/000265361","HathiTrust Record")</f>
        <v/>
      </c>
      <c r="AS163">
        <f>HYPERLINK("https://creighton-primo.hosted.exlibrisgroup.com/primo-explore/search?tab=default_tab&amp;search_scope=EVERYTHING&amp;vid=01CRU&amp;lang=en_US&amp;offset=0&amp;query=any,contains,991005089509702656","Catalog Record")</f>
        <v/>
      </c>
      <c r="AT163">
        <f>HYPERLINK("http://www.worldcat.org/oclc/7206343","WorldCat Record")</f>
        <v/>
      </c>
      <c r="AU163" t="inlineStr">
        <is>
          <t>461511:eng</t>
        </is>
      </c>
      <c r="AV163" t="inlineStr">
        <is>
          <t>7206343</t>
        </is>
      </c>
      <c r="AW163" t="inlineStr">
        <is>
          <t>991005089509702656</t>
        </is>
      </c>
      <c r="AX163" t="inlineStr">
        <is>
          <t>991005089509702656</t>
        </is>
      </c>
      <c r="AY163" t="inlineStr">
        <is>
          <t>2265921490002656</t>
        </is>
      </c>
      <c r="AZ163" t="inlineStr">
        <is>
          <t>BOOK</t>
        </is>
      </c>
      <c r="BB163" t="inlineStr">
        <is>
          <t>9780805764802</t>
        </is>
      </c>
      <c r="BC163" t="inlineStr">
        <is>
          <t>32285000152867</t>
        </is>
      </c>
      <c r="BD163" t="inlineStr">
        <is>
          <t>893895842</t>
        </is>
      </c>
    </row>
    <row r="164">
      <c r="A164" t="inlineStr">
        <is>
          <t>No</t>
        </is>
      </c>
      <c r="B164" t="inlineStr">
        <is>
          <t>PG3328.Z6 P3</t>
        </is>
      </c>
      <c r="C164" t="inlineStr">
        <is>
          <t>0                      PG 3328000Z  6                  P  3</t>
        </is>
      </c>
      <c r="D164" t="inlineStr">
        <is>
          <t>Dostoevski the adapter; a study in Dostoevski's use of the tales of Hoffmann.</t>
        </is>
      </c>
      <c r="F164" t="inlineStr">
        <is>
          <t>No</t>
        </is>
      </c>
      <c r="G164" t="inlineStr">
        <is>
          <t>1</t>
        </is>
      </c>
      <c r="H164" t="inlineStr">
        <is>
          <t>No</t>
        </is>
      </c>
      <c r="I164" t="inlineStr">
        <is>
          <t>No</t>
        </is>
      </c>
      <c r="J164" t="inlineStr">
        <is>
          <t>0</t>
        </is>
      </c>
      <c r="K164" t="inlineStr">
        <is>
          <t>Passage, Charles E.</t>
        </is>
      </c>
      <c r="L164" t="inlineStr">
        <is>
          <t>Chapel Hill, University of North Carolina Press, 1954.</t>
        </is>
      </c>
      <c r="M164" t="inlineStr">
        <is>
          <t>1954</t>
        </is>
      </c>
      <c r="O164" t="inlineStr">
        <is>
          <t>eng</t>
        </is>
      </c>
      <c r="P164" t="inlineStr">
        <is>
          <t>ncu</t>
        </is>
      </c>
      <c r="Q164" t="inlineStr">
        <is>
          <t>University of North Carolina studies in comparative literature ; 10</t>
        </is>
      </c>
      <c r="R164" t="inlineStr">
        <is>
          <t xml:space="preserve">PG </t>
        </is>
      </c>
      <c r="S164" t="n">
        <v>2</v>
      </c>
      <c r="T164" t="n">
        <v>2</v>
      </c>
      <c r="U164" t="inlineStr">
        <is>
          <t>2010-03-19</t>
        </is>
      </c>
      <c r="V164" t="inlineStr">
        <is>
          <t>2010-03-19</t>
        </is>
      </c>
      <c r="W164" t="inlineStr">
        <is>
          <t>1997-09-08</t>
        </is>
      </c>
      <c r="X164" t="inlineStr">
        <is>
          <t>1997-09-08</t>
        </is>
      </c>
      <c r="Y164" t="n">
        <v>452</v>
      </c>
      <c r="Z164" t="n">
        <v>378</v>
      </c>
      <c r="AA164" t="n">
        <v>416</v>
      </c>
      <c r="AB164" t="n">
        <v>5</v>
      </c>
      <c r="AC164" t="n">
        <v>5</v>
      </c>
      <c r="AD164" t="n">
        <v>16</v>
      </c>
      <c r="AE164" t="n">
        <v>19</v>
      </c>
      <c r="AF164" t="n">
        <v>3</v>
      </c>
      <c r="AG164" t="n">
        <v>6</v>
      </c>
      <c r="AH164" t="n">
        <v>5</v>
      </c>
      <c r="AI164" t="n">
        <v>6</v>
      </c>
      <c r="AJ164" t="n">
        <v>7</v>
      </c>
      <c r="AK164" t="n">
        <v>7</v>
      </c>
      <c r="AL164" t="n">
        <v>4</v>
      </c>
      <c r="AM164" t="n">
        <v>4</v>
      </c>
      <c r="AN164" t="n">
        <v>0</v>
      </c>
      <c r="AO164" t="n">
        <v>0</v>
      </c>
      <c r="AP164" t="inlineStr">
        <is>
          <t>No</t>
        </is>
      </c>
      <c r="AQ164" t="inlineStr">
        <is>
          <t>Yes</t>
        </is>
      </c>
      <c r="AR164">
        <f>HYPERLINK("http://catalog.hathitrust.org/Record/001224472","HathiTrust Record")</f>
        <v/>
      </c>
      <c r="AS164">
        <f>HYPERLINK("https://creighton-primo.hosted.exlibrisgroup.com/primo-explore/search?tab=default_tab&amp;search_scope=EVERYTHING&amp;vid=01CRU&amp;lang=en_US&amp;offset=0&amp;query=any,contains,991002883359702656","Catalog Record")</f>
        <v/>
      </c>
      <c r="AT164">
        <f>HYPERLINK("http://www.worldcat.org/oclc/506973","WorldCat Record")</f>
        <v/>
      </c>
      <c r="AU164" t="inlineStr">
        <is>
          <t>1454264:eng</t>
        </is>
      </c>
      <c r="AV164" t="inlineStr">
        <is>
          <t>506973</t>
        </is>
      </c>
      <c r="AW164" t="inlineStr">
        <is>
          <t>991002883359702656</t>
        </is>
      </c>
      <c r="AX164" t="inlineStr">
        <is>
          <t>991002883359702656</t>
        </is>
      </c>
      <c r="AY164" t="inlineStr">
        <is>
          <t>2259636610002656</t>
        </is>
      </c>
      <c r="AZ164" t="inlineStr">
        <is>
          <t>BOOK</t>
        </is>
      </c>
      <c r="BC164" t="inlineStr">
        <is>
          <t>32285003198925</t>
        </is>
      </c>
      <c r="BD164" t="inlineStr">
        <is>
          <t>893317393</t>
        </is>
      </c>
    </row>
    <row r="165">
      <c r="A165" t="inlineStr">
        <is>
          <t>No</t>
        </is>
      </c>
      <c r="B165" t="inlineStr">
        <is>
          <t>PG3328.Z6 P36 1975</t>
        </is>
      </c>
      <c r="C165" t="inlineStr">
        <is>
          <t>0                      PG 3328000Z  6                  P  36          1975</t>
        </is>
      </c>
      <c r="D165" t="inlineStr">
        <is>
          <t>Dostoyevsky, an examination of the major novels / Richard Peace.</t>
        </is>
      </c>
      <c r="F165" t="inlineStr">
        <is>
          <t>No</t>
        </is>
      </c>
      <c r="G165" t="inlineStr">
        <is>
          <t>1</t>
        </is>
      </c>
      <c r="H165" t="inlineStr">
        <is>
          <t>No</t>
        </is>
      </c>
      <c r="I165" t="inlineStr">
        <is>
          <t>No</t>
        </is>
      </c>
      <c r="J165" t="inlineStr">
        <is>
          <t>0</t>
        </is>
      </c>
      <c r="K165" t="inlineStr">
        <is>
          <t>Peace, Richard, 1933-2013.</t>
        </is>
      </c>
      <c r="L165" t="inlineStr">
        <is>
          <t>Cambridge [Eng.] : Cambridge University Press, 1975, c1971.</t>
        </is>
      </c>
      <c r="M165" t="inlineStr">
        <is>
          <t>1975</t>
        </is>
      </c>
      <c r="N165" t="inlineStr">
        <is>
          <t>1st paperback ed.</t>
        </is>
      </c>
      <c r="O165" t="inlineStr">
        <is>
          <t>eng</t>
        </is>
      </c>
      <c r="P165" t="inlineStr">
        <is>
          <t>enk</t>
        </is>
      </c>
      <c r="Q165" t="inlineStr">
        <is>
          <t>Major European authors</t>
        </is>
      </c>
      <c r="R165" t="inlineStr">
        <is>
          <t xml:space="preserve">PG </t>
        </is>
      </c>
      <c r="S165" t="n">
        <v>12</v>
      </c>
      <c r="T165" t="n">
        <v>12</v>
      </c>
      <c r="U165" t="inlineStr">
        <is>
          <t>2006-02-10</t>
        </is>
      </c>
      <c r="V165" t="inlineStr">
        <is>
          <t>2006-02-10</t>
        </is>
      </c>
      <c r="W165" t="inlineStr">
        <is>
          <t>1991-12-09</t>
        </is>
      </c>
      <c r="X165" t="inlineStr">
        <is>
          <t>1991-12-09</t>
        </is>
      </c>
      <c r="Y165" t="n">
        <v>47</v>
      </c>
      <c r="Z165" t="n">
        <v>27</v>
      </c>
      <c r="AA165" t="n">
        <v>815</v>
      </c>
      <c r="AB165" t="n">
        <v>1</v>
      </c>
      <c r="AC165" t="n">
        <v>8</v>
      </c>
      <c r="AD165" t="n">
        <v>2</v>
      </c>
      <c r="AE165" t="n">
        <v>35</v>
      </c>
      <c r="AF165" t="n">
        <v>1</v>
      </c>
      <c r="AG165" t="n">
        <v>13</v>
      </c>
      <c r="AH165" t="n">
        <v>2</v>
      </c>
      <c r="AI165" t="n">
        <v>8</v>
      </c>
      <c r="AJ165" t="n">
        <v>0</v>
      </c>
      <c r="AK165" t="n">
        <v>13</v>
      </c>
      <c r="AL165" t="n">
        <v>0</v>
      </c>
      <c r="AM165" t="n">
        <v>7</v>
      </c>
      <c r="AN165" t="n">
        <v>0</v>
      </c>
      <c r="AO165" t="n">
        <v>0</v>
      </c>
      <c r="AP165" t="inlineStr">
        <is>
          <t>No</t>
        </is>
      </c>
      <c r="AQ165" t="inlineStr">
        <is>
          <t>No</t>
        </is>
      </c>
      <c r="AS165">
        <f>HYPERLINK("https://creighton-primo.hosted.exlibrisgroup.com/primo-explore/search?tab=default_tab&amp;search_scope=EVERYTHING&amp;vid=01CRU&amp;lang=en_US&amp;offset=0&amp;query=any,contains,991000535709702656","Catalog Record")</f>
        <v/>
      </c>
      <c r="AT165">
        <f>HYPERLINK("http://www.worldcat.org/oclc/11447373","WorldCat Record")</f>
        <v/>
      </c>
      <c r="AU165" t="inlineStr">
        <is>
          <t>836889626:eng</t>
        </is>
      </c>
      <c r="AV165" t="inlineStr">
        <is>
          <t>11447373</t>
        </is>
      </c>
      <c r="AW165" t="inlineStr">
        <is>
          <t>991000535709702656</t>
        </is>
      </c>
      <c r="AX165" t="inlineStr">
        <is>
          <t>991000535709702656</t>
        </is>
      </c>
      <c r="AY165" t="inlineStr">
        <is>
          <t>2261638780002656</t>
        </is>
      </c>
      <c r="AZ165" t="inlineStr">
        <is>
          <t>BOOK</t>
        </is>
      </c>
      <c r="BB165" t="inlineStr">
        <is>
          <t>9780521099943</t>
        </is>
      </c>
      <c r="BC165" t="inlineStr">
        <is>
          <t>32285000873256</t>
        </is>
      </c>
      <c r="BD165" t="inlineStr">
        <is>
          <t>893407283</t>
        </is>
      </c>
    </row>
    <row r="166">
      <c r="A166" t="inlineStr">
        <is>
          <t>No</t>
        </is>
      </c>
      <c r="B166" t="inlineStr">
        <is>
          <t>PG3328.Z6 S57 1969</t>
        </is>
      </c>
      <c r="C166" t="inlineStr">
        <is>
          <t>0                      PG 3328000Z  6                  S  57          1969</t>
        </is>
      </c>
      <c r="D166" t="inlineStr">
        <is>
          <t>Dostoyevski in Russian literary criticism, 1846-1956 / by Vladimir Seduro.</t>
        </is>
      </c>
      <c r="F166" t="inlineStr">
        <is>
          <t>No</t>
        </is>
      </c>
      <c r="G166" t="inlineStr">
        <is>
          <t>1</t>
        </is>
      </c>
      <c r="H166" t="inlineStr">
        <is>
          <t>No</t>
        </is>
      </c>
      <c r="I166" t="inlineStr">
        <is>
          <t>No</t>
        </is>
      </c>
      <c r="J166" t="inlineStr">
        <is>
          <t>0</t>
        </is>
      </c>
      <c r="K166" t="inlineStr">
        <is>
          <t>Hlybinny, Uladzimer, 1910-1995.</t>
        </is>
      </c>
      <c r="L166" t="inlineStr">
        <is>
          <t>New York, Octagon Books, 1969 [c1957]</t>
        </is>
      </c>
      <c r="M166" t="inlineStr">
        <is>
          <t>1969</t>
        </is>
      </c>
      <c r="O166" t="inlineStr">
        <is>
          <t>eng</t>
        </is>
      </c>
      <c r="P166" t="inlineStr">
        <is>
          <t>nyu</t>
        </is>
      </c>
      <c r="Q166" t="inlineStr">
        <is>
          <t>Columbia Slavic studies</t>
        </is>
      </c>
      <c r="R166" t="inlineStr">
        <is>
          <t xml:space="preserve">PG </t>
        </is>
      </c>
      <c r="S166" t="n">
        <v>7</v>
      </c>
      <c r="T166" t="n">
        <v>7</v>
      </c>
      <c r="U166" t="inlineStr">
        <is>
          <t>2010-03-19</t>
        </is>
      </c>
      <c r="V166" t="inlineStr">
        <is>
          <t>2010-03-19</t>
        </is>
      </c>
      <c r="W166" t="inlineStr">
        <is>
          <t>1997-09-08</t>
        </is>
      </c>
      <c r="X166" t="inlineStr">
        <is>
          <t>1997-09-08</t>
        </is>
      </c>
      <c r="Y166" t="n">
        <v>361</v>
      </c>
      <c r="Z166" t="n">
        <v>336</v>
      </c>
      <c r="AA166" t="n">
        <v>603</v>
      </c>
      <c r="AB166" t="n">
        <v>3</v>
      </c>
      <c r="AC166" t="n">
        <v>7</v>
      </c>
      <c r="AD166" t="n">
        <v>12</v>
      </c>
      <c r="AE166" t="n">
        <v>31</v>
      </c>
      <c r="AF166" t="n">
        <v>6</v>
      </c>
      <c r="AG166" t="n">
        <v>12</v>
      </c>
      <c r="AH166" t="n">
        <v>2</v>
      </c>
      <c r="AI166" t="n">
        <v>6</v>
      </c>
      <c r="AJ166" t="n">
        <v>5</v>
      </c>
      <c r="AK166" t="n">
        <v>14</v>
      </c>
      <c r="AL166" t="n">
        <v>2</v>
      </c>
      <c r="AM166" t="n">
        <v>6</v>
      </c>
      <c r="AN166" t="n">
        <v>0</v>
      </c>
      <c r="AO166" t="n">
        <v>0</v>
      </c>
      <c r="AP166" t="inlineStr">
        <is>
          <t>No</t>
        </is>
      </c>
      <c r="AQ166" t="inlineStr">
        <is>
          <t>No</t>
        </is>
      </c>
      <c r="AS166">
        <f>HYPERLINK("https://creighton-primo.hosted.exlibrisgroup.com/primo-explore/search?tab=default_tab&amp;search_scope=EVERYTHING&amp;vid=01CRU&amp;lang=en_US&amp;offset=0&amp;query=any,contains,991005352679702656","Catalog Record")</f>
        <v/>
      </c>
      <c r="AT166">
        <f>HYPERLINK("http://www.worldcat.org/oclc/9273","WorldCat Record")</f>
        <v/>
      </c>
      <c r="AU166" t="inlineStr">
        <is>
          <t>181991425:eng</t>
        </is>
      </c>
      <c r="AV166" t="inlineStr">
        <is>
          <t>9273</t>
        </is>
      </c>
      <c r="AW166" t="inlineStr">
        <is>
          <t>991005352679702656</t>
        </is>
      </c>
      <c r="AX166" t="inlineStr">
        <is>
          <t>991005352679702656</t>
        </is>
      </c>
      <c r="AY166" t="inlineStr">
        <is>
          <t>2268808690002656</t>
        </is>
      </c>
      <c r="AZ166" t="inlineStr">
        <is>
          <t>BOOK</t>
        </is>
      </c>
      <c r="BC166" t="inlineStr">
        <is>
          <t>32285003167755</t>
        </is>
      </c>
      <c r="BD166" t="inlineStr">
        <is>
          <t>893338946</t>
        </is>
      </c>
    </row>
    <row r="167">
      <c r="A167" t="inlineStr">
        <is>
          <t>No</t>
        </is>
      </c>
      <c r="B167" t="inlineStr">
        <is>
          <t>PG3328.Z6 W3</t>
        </is>
      </c>
      <c r="C167" t="inlineStr">
        <is>
          <t>0                      PG 3328000Z  6                  W  3</t>
        </is>
      </c>
      <c r="D167" t="inlineStr">
        <is>
          <t>Dostoevsky: the major fiction.</t>
        </is>
      </c>
      <c r="F167" t="inlineStr">
        <is>
          <t>No</t>
        </is>
      </c>
      <c r="G167" t="inlineStr">
        <is>
          <t>1</t>
        </is>
      </c>
      <c r="H167" t="inlineStr">
        <is>
          <t>No</t>
        </is>
      </c>
      <c r="I167" t="inlineStr">
        <is>
          <t>No</t>
        </is>
      </c>
      <c r="J167" t="inlineStr">
        <is>
          <t>0</t>
        </is>
      </c>
      <c r="K167" t="inlineStr">
        <is>
          <t>Wasiolek, Edward.</t>
        </is>
      </c>
      <c r="L167" t="inlineStr">
        <is>
          <t>Cambridge, Mass., M.I.T. Press [1964]</t>
        </is>
      </c>
      <c r="M167" t="inlineStr">
        <is>
          <t>1964</t>
        </is>
      </c>
      <c r="O167" t="inlineStr">
        <is>
          <t>eng</t>
        </is>
      </c>
      <c r="P167" t="inlineStr">
        <is>
          <t>mau</t>
        </is>
      </c>
      <c r="R167" t="inlineStr">
        <is>
          <t xml:space="preserve">PG </t>
        </is>
      </c>
      <c r="S167" t="n">
        <v>5</v>
      </c>
      <c r="T167" t="n">
        <v>5</v>
      </c>
      <c r="U167" t="inlineStr">
        <is>
          <t>2010-03-19</t>
        </is>
      </c>
      <c r="V167" t="inlineStr">
        <is>
          <t>2010-03-19</t>
        </is>
      </c>
      <c r="W167" t="inlineStr">
        <is>
          <t>1997-09-08</t>
        </is>
      </c>
      <c r="X167" t="inlineStr">
        <is>
          <t>1997-09-08</t>
        </is>
      </c>
      <c r="Y167" t="n">
        <v>1255</v>
      </c>
      <c r="Z167" t="n">
        <v>1139</v>
      </c>
      <c r="AA167" t="n">
        <v>1155</v>
      </c>
      <c r="AB167" t="n">
        <v>9</v>
      </c>
      <c r="AC167" t="n">
        <v>9</v>
      </c>
      <c r="AD167" t="n">
        <v>45</v>
      </c>
      <c r="AE167" t="n">
        <v>45</v>
      </c>
      <c r="AF167" t="n">
        <v>18</v>
      </c>
      <c r="AG167" t="n">
        <v>18</v>
      </c>
      <c r="AH167" t="n">
        <v>8</v>
      </c>
      <c r="AI167" t="n">
        <v>8</v>
      </c>
      <c r="AJ167" t="n">
        <v>21</v>
      </c>
      <c r="AK167" t="n">
        <v>21</v>
      </c>
      <c r="AL167" t="n">
        <v>8</v>
      </c>
      <c r="AM167" t="n">
        <v>8</v>
      </c>
      <c r="AN167" t="n">
        <v>0</v>
      </c>
      <c r="AO167" t="n">
        <v>0</v>
      </c>
      <c r="AP167" t="inlineStr">
        <is>
          <t>No</t>
        </is>
      </c>
      <c r="AQ167" t="inlineStr">
        <is>
          <t>Yes</t>
        </is>
      </c>
      <c r="AR167">
        <f>HYPERLINK("http://catalog.hathitrust.org/Record/001224491","HathiTrust Record")</f>
        <v/>
      </c>
      <c r="AS167">
        <f>HYPERLINK("https://creighton-primo.hosted.exlibrisgroup.com/primo-explore/search?tab=default_tab&amp;search_scope=EVERYTHING&amp;vid=01CRU&amp;lang=en_US&amp;offset=0&amp;query=any,contains,991003594009702656","Catalog Record")</f>
        <v/>
      </c>
      <c r="AT167">
        <f>HYPERLINK("http://www.worldcat.org/oclc/1175474","WorldCat Record")</f>
        <v/>
      </c>
      <c r="AU167" t="inlineStr">
        <is>
          <t>2120520:eng</t>
        </is>
      </c>
      <c r="AV167" t="inlineStr">
        <is>
          <t>1175474</t>
        </is>
      </c>
      <c r="AW167" t="inlineStr">
        <is>
          <t>991003594009702656</t>
        </is>
      </c>
      <c r="AX167" t="inlineStr">
        <is>
          <t>991003594009702656</t>
        </is>
      </c>
      <c r="AY167" t="inlineStr">
        <is>
          <t>2271828730002656</t>
        </is>
      </c>
      <c r="AZ167" t="inlineStr">
        <is>
          <t>BOOK</t>
        </is>
      </c>
      <c r="BC167" t="inlineStr">
        <is>
          <t>32285003198933</t>
        </is>
      </c>
      <c r="BD167" t="inlineStr">
        <is>
          <t>893330525</t>
        </is>
      </c>
    </row>
    <row r="168">
      <c r="A168" t="inlineStr">
        <is>
          <t>No</t>
        </is>
      </c>
      <c r="B168" t="inlineStr">
        <is>
          <t>PG3328.Z6 W4 1973</t>
        </is>
      </c>
      <c r="C168" t="inlineStr">
        <is>
          <t>0                      PG 3328000Z  6                  W  4           1973</t>
        </is>
      </c>
      <c r="D168" t="inlineStr">
        <is>
          <t>The greatness of man; an essay on Dostoyevsky and Whitman / by Perry D. Westbrook.</t>
        </is>
      </c>
      <c r="F168" t="inlineStr">
        <is>
          <t>No</t>
        </is>
      </c>
      <c r="G168" t="inlineStr">
        <is>
          <t>1</t>
        </is>
      </c>
      <c r="H168" t="inlineStr">
        <is>
          <t>No</t>
        </is>
      </c>
      <c r="I168" t="inlineStr">
        <is>
          <t>No</t>
        </is>
      </c>
      <c r="J168" t="inlineStr">
        <is>
          <t>0</t>
        </is>
      </c>
      <c r="K168" t="inlineStr">
        <is>
          <t>Westbrook, Perry D.</t>
        </is>
      </c>
      <c r="L168" t="inlineStr">
        <is>
          <t>Rutherford [N.J.] : Fairleigh Dickinson University Press, c1973.</t>
        </is>
      </c>
      <c r="M168" t="inlineStr">
        <is>
          <t>1973</t>
        </is>
      </c>
      <c r="N168" t="inlineStr">
        <is>
          <t>Rev. ed.</t>
        </is>
      </c>
      <c r="O168" t="inlineStr">
        <is>
          <t>eng</t>
        </is>
      </c>
      <c r="P168" t="inlineStr">
        <is>
          <t>nju</t>
        </is>
      </c>
      <c r="R168" t="inlineStr">
        <is>
          <t xml:space="preserve">PG </t>
        </is>
      </c>
      <c r="S168" t="n">
        <v>4</v>
      </c>
      <c r="T168" t="n">
        <v>4</v>
      </c>
      <c r="U168" t="inlineStr">
        <is>
          <t>2010-03-19</t>
        </is>
      </c>
      <c r="V168" t="inlineStr">
        <is>
          <t>2010-03-19</t>
        </is>
      </c>
      <c r="W168" t="inlineStr">
        <is>
          <t>1993-04-28</t>
        </is>
      </c>
      <c r="X168" t="inlineStr">
        <is>
          <t>1993-04-28</t>
        </is>
      </c>
      <c r="Y168" t="n">
        <v>349</v>
      </c>
      <c r="Z168" t="n">
        <v>318</v>
      </c>
      <c r="AA168" t="n">
        <v>603</v>
      </c>
      <c r="AB168" t="n">
        <v>3</v>
      </c>
      <c r="AC168" t="n">
        <v>3</v>
      </c>
      <c r="AD168" t="n">
        <v>15</v>
      </c>
      <c r="AE168" t="n">
        <v>26</v>
      </c>
      <c r="AF168" t="n">
        <v>6</v>
      </c>
      <c r="AG168" t="n">
        <v>12</v>
      </c>
      <c r="AH168" t="n">
        <v>3</v>
      </c>
      <c r="AI168" t="n">
        <v>7</v>
      </c>
      <c r="AJ168" t="n">
        <v>10</v>
      </c>
      <c r="AK168" t="n">
        <v>14</v>
      </c>
      <c r="AL168" t="n">
        <v>2</v>
      </c>
      <c r="AM168" t="n">
        <v>2</v>
      </c>
      <c r="AN168" t="n">
        <v>0</v>
      </c>
      <c r="AO168" t="n">
        <v>0</v>
      </c>
      <c r="AP168" t="inlineStr">
        <is>
          <t>No</t>
        </is>
      </c>
      <c r="AQ168" t="inlineStr">
        <is>
          <t>Yes</t>
        </is>
      </c>
      <c r="AR168">
        <f>HYPERLINK("http://catalog.hathitrust.org/Record/001224493","HathiTrust Record")</f>
        <v/>
      </c>
      <c r="AS168">
        <f>HYPERLINK("https://creighton-primo.hosted.exlibrisgroup.com/primo-explore/search?tab=default_tab&amp;search_scope=EVERYTHING&amp;vid=01CRU&amp;lang=en_US&amp;offset=0&amp;query=any,contains,991003187669702656","Catalog Record")</f>
        <v/>
      </c>
      <c r="AT168">
        <f>HYPERLINK("http://www.worldcat.org/oclc/713894","WorldCat Record")</f>
        <v/>
      </c>
      <c r="AU168" t="inlineStr">
        <is>
          <t>1395736:eng</t>
        </is>
      </c>
      <c r="AV168" t="inlineStr">
        <is>
          <t>713894</t>
        </is>
      </c>
      <c r="AW168" t="inlineStr">
        <is>
          <t>991003187669702656</t>
        </is>
      </c>
      <c r="AX168" t="inlineStr">
        <is>
          <t>991003187669702656</t>
        </is>
      </c>
      <c r="AY168" t="inlineStr">
        <is>
          <t>2255338610002656</t>
        </is>
      </c>
      <c r="AZ168" t="inlineStr">
        <is>
          <t>BOOK</t>
        </is>
      </c>
      <c r="BB168" t="inlineStr">
        <is>
          <t>9780838611975</t>
        </is>
      </c>
      <c r="BC168" t="inlineStr">
        <is>
          <t>32285001649093</t>
        </is>
      </c>
      <c r="BD168" t="inlineStr">
        <is>
          <t>893899702</t>
        </is>
      </c>
    </row>
    <row r="169">
      <c r="A169" t="inlineStr">
        <is>
          <t>No</t>
        </is>
      </c>
      <c r="B169" t="inlineStr">
        <is>
          <t>PG3328.Z7 P524 2001</t>
        </is>
      </c>
      <c r="C169" t="inlineStr">
        <is>
          <t>0                      PG 3328000Z  7                  P  524         2001</t>
        </is>
      </c>
      <c r="D169" t="inlineStr">
        <is>
          <t>On Dostoevsky / Susan Leigh Anderson.</t>
        </is>
      </c>
      <c r="F169" t="inlineStr">
        <is>
          <t>No</t>
        </is>
      </c>
      <c r="G169" t="inlineStr">
        <is>
          <t>1</t>
        </is>
      </c>
      <c r="H169" t="inlineStr">
        <is>
          <t>No</t>
        </is>
      </c>
      <c r="I169" t="inlineStr">
        <is>
          <t>No</t>
        </is>
      </c>
      <c r="J169" t="inlineStr">
        <is>
          <t>0</t>
        </is>
      </c>
      <c r="K169" t="inlineStr">
        <is>
          <t>Anderson, Susan Leigh.</t>
        </is>
      </c>
      <c r="L169" t="inlineStr">
        <is>
          <t>Australia ; Belmont, CA : Wadsworth/Thomson Learning, c2001.</t>
        </is>
      </c>
      <c r="M169" t="inlineStr">
        <is>
          <t>2001</t>
        </is>
      </c>
      <c r="O169" t="inlineStr">
        <is>
          <t>eng</t>
        </is>
      </c>
      <c r="P169" t="inlineStr">
        <is>
          <t xml:space="preserve">at </t>
        </is>
      </c>
      <c r="Q169" t="inlineStr">
        <is>
          <t>Wadsworth philosophers series</t>
        </is>
      </c>
      <c r="R169" t="inlineStr">
        <is>
          <t xml:space="preserve">PG </t>
        </is>
      </c>
      <c r="S169" t="n">
        <v>3</v>
      </c>
      <c r="T169" t="n">
        <v>3</v>
      </c>
      <c r="U169" t="inlineStr">
        <is>
          <t>2010-03-19</t>
        </is>
      </c>
      <c r="V169" t="inlineStr">
        <is>
          <t>2010-03-19</t>
        </is>
      </c>
      <c r="W169" t="inlineStr">
        <is>
          <t>2008-12-17</t>
        </is>
      </c>
      <c r="X169" t="inlineStr">
        <is>
          <t>2008-12-17</t>
        </is>
      </c>
      <c r="Y169" t="n">
        <v>67</v>
      </c>
      <c r="Z169" t="n">
        <v>55</v>
      </c>
      <c r="AA169" t="n">
        <v>160</v>
      </c>
      <c r="AB169" t="n">
        <v>1</v>
      </c>
      <c r="AC169" t="n">
        <v>2</v>
      </c>
      <c r="AD169" t="n">
        <v>2</v>
      </c>
      <c r="AE169" t="n">
        <v>10</v>
      </c>
      <c r="AF169" t="n">
        <v>1</v>
      </c>
      <c r="AG169" t="n">
        <v>3</v>
      </c>
      <c r="AH169" t="n">
        <v>1</v>
      </c>
      <c r="AI169" t="n">
        <v>4</v>
      </c>
      <c r="AJ169" t="n">
        <v>0</v>
      </c>
      <c r="AK169" t="n">
        <v>6</v>
      </c>
      <c r="AL169" t="n">
        <v>0</v>
      </c>
      <c r="AM169" t="n">
        <v>1</v>
      </c>
      <c r="AN169" t="n">
        <v>0</v>
      </c>
      <c r="AO169" t="n">
        <v>0</v>
      </c>
      <c r="AP169" t="inlineStr">
        <is>
          <t>No</t>
        </is>
      </c>
      <c r="AQ169" t="inlineStr">
        <is>
          <t>No</t>
        </is>
      </c>
      <c r="AS169">
        <f>HYPERLINK("https://creighton-primo.hosted.exlibrisgroup.com/primo-explore/search?tab=default_tab&amp;search_scope=EVERYTHING&amp;vid=01CRU&amp;lang=en_US&amp;offset=0&amp;query=any,contains,991005285349702656","Catalog Record")</f>
        <v/>
      </c>
      <c r="AT169">
        <f>HYPERLINK("http://www.worldcat.org/oclc/48682064","WorldCat Record")</f>
        <v/>
      </c>
      <c r="AU169" t="inlineStr">
        <is>
          <t>102206535:eng</t>
        </is>
      </c>
      <c r="AV169" t="inlineStr">
        <is>
          <t>48682064</t>
        </is>
      </c>
      <c r="AW169" t="inlineStr">
        <is>
          <t>991005285349702656</t>
        </is>
      </c>
      <c r="AX169" t="inlineStr">
        <is>
          <t>991005285349702656</t>
        </is>
      </c>
      <c r="AY169" t="inlineStr">
        <is>
          <t>2260892440002656</t>
        </is>
      </c>
      <c r="AZ169" t="inlineStr">
        <is>
          <t>BOOK</t>
        </is>
      </c>
      <c r="BB169" t="inlineStr">
        <is>
          <t>9780534583729</t>
        </is>
      </c>
      <c r="BC169" t="inlineStr">
        <is>
          <t>32285005474340</t>
        </is>
      </c>
      <c r="BD169" t="inlineStr">
        <is>
          <t>893701323</t>
        </is>
      </c>
    </row>
    <row r="170">
      <c r="A170" t="inlineStr">
        <is>
          <t>No</t>
        </is>
      </c>
      <c r="B170" t="inlineStr">
        <is>
          <t>PG3328.Z7 R4226 1986</t>
        </is>
      </c>
      <c r="C170" t="inlineStr">
        <is>
          <t>0                      PG 3328000Z  7                  R  4226        1986</t>
        </is>
      </c>
      <c r="D170" t="inlineStr">
        <is>
          <t>Dostoevsky and the Catholic Church / Denis Dirscherl.</t>
        </is>
      </c>
      <c r="F170" t="inlineStr">
        <is>
          <t>No</t>
        </is>
      </c>
      <c r="G170" t="inlineStr">
        <is>
          <t>1</t>
        </is>
      </c>
      <c r="H170" t="inlineStr">
        <is>
          <t>No</t>
        </is>
      </c>
      <c r="I170" t="inlineStr">
        <is>
          <t>No</t>
        </is>
      </c>
      <c r="J170" t="inlineStr">
        <is>
          <t>0</t>
        </is>
      </c>
      <c r="K170" t="inlineStr">
        <is>
          <t>Dirscherl, Denis.</t>
        </is>
      </c>
      <c r="L170" t="inlineStr">
        <is>
          <t>Chicago : Loyola University Press, [1986]</t>
        </is>
      </c>
      <c r="M170" t="inlineStr">
        <is>
          <t>1986</t>
        </is>
      </c>
      <c r="O170" t="inlineStr">
        <is>
          <t>eng</t>
        </is>
      </c>
      <c r="P170" t="inlineStr">
        <is>
          <t>ilu</t>
        </is>
      </c>
      <c r="R170" t="inlineStr">
        <is>
          <t xml:space="preserve">PG </t>
        </is>
      </c>
      <c r="S170" t="n">
        <v>19</v>
      </c>
      <c r="T170" t="n">
        <v>19</v>
      </c>
      <c r="U170" t="inlineStr">
        <is>
          <t>2010-03-19</t>
        </is>
      </c>
      <c r="V170" t="inlineStr">
        <is>
          <t>2010-03-19</t>
        </is>
      </c>
      <c r="W170" t="inlineStr">
        <is>
          <t>1990-05-08</t>
        </is>
      </c>
      <c r="X170" t="inlineStr">
        <is>
          <t>1990-05-08</t>
        </is>
      </c>
      <c r="Y170" t="n">
        <v>372</v>
      </c>
      <c r="Z170" t="n">
        <v>327</v>
      </c>
      <c r="AA170" t="n">
        <v>335</v>
      </c>
      <c r="AB170" t="n">
        <v>2</v>
      </c>
      <c r="AC170" t="n">
        <v>2</v>
      </c>
      <c r="AD170" t="n">
        <v>27</v>
      </c>
      <c r="AE170" t="n">
        <v>27</v>
      </c>
      <c r="AF170" t="n">
        <v>8</v>
      </c>
      <c r="AG170" t="n">
        <v>8</v>
      </c>
      <c r="AH170" t="n">
        <v>8</v>
      </c>
      <c r="AI170" t="n">
        <v>8</v>
      </c>
      <c r="AJ170" t="n">
        <v>17</v>
      </c>
      <c r="AK170" t="n">
        <v>17</v>
      </c>
      <c r="AL170" t="n">
        <v>1</v>
      </c>
      <c r="AM170" t="n">
        <v>1</v>
      </c>
      <c r="AN170" t="n">
        <v>0</v>
      </c>
      <c r="AO170" t="n">
        <v>0</v>
      </c>
      <c r="AP170" t="inlineStr">
        <is>
          <t>No</t>
        </is>
      </c>
      <c r="AQ170" t="inlineStr">
        <is>
          <t>Yes</t>
        </is>
      </c>
      <c r="AR170">
        <f>HYPERLINK("http://catalog.hathitrust.org/Record/000631548","HathiTrust Record")</f>
        <v/>
      </c>
      <c r="AS170">
        <f>HYPERLINK("https://creighton-primo.hosted.exlibrisgroup.com/primo-explore/search?tab=default_tab&amp;search_scope=EVERYTHING&amp;vid=01CRU&amp;lang=en_US&amp;offset=0&amp;query=any,contains,991000805119702656","Catalog Record")</f>
        <v/>
      </c>
      <c r="AT170">
        <f>HYPERLINK("http://www.worldcat.org/oclc/13271233","WorldCat Record")</f>
        <v/>
      </c>
      <c r="AU170" t="inlineStr">
        <is>
          <t>7076890:eng</t>
        </is>
      </c>
      <c r="AV170" t="inlineStr">
        <is>
          <t>13271233</t>
        </is>
      </c>
      <c r="AW170" t="inlineStr">
        <is>
          <t>991000805119702656</t>
        </is>
      </c>
      <c r="AX170" t="inlineStr">
        <is>
          <t>991000805119702656</t>
        </is>
      </c>
      <c r="AY170" t="inlineStr">
        <is>
          <t>2269783070002656</t>
        </is>
      </c>
      <c r="AZ170" t="inlineStr">
        <is>
          <t>BOOK</t>
        </is>
      </c>
      <c r="BB170" t="inlineStr">
        <is>
          <t>9780829405026</t>
        </is>
      </c>
      <c r="BC170" t="inlineStr">
        <is>
          <t>32285000119866</t>
        </is>
      </c>
      <c r="BD170" t="inlineStr">
        <is>
          <t>893407528</t>
        </is>
      </c>
    </row>
    <row r="171">
      <c r="A171" t="inlineStr">
        <is>
          <t>No</t>
        </is>
      </c>
      <c r="B171" t="inlineStr">
        <is>
          <t>PG3328.Z7 R424</t>
        </is>
      </c>
      <c r="C171" t="inlineStr">
        <is>
          <t>0                      PG 3328000Z  7                  R  424</t>
        </is>
      </c>
      <c r="D171" t="inlineStr">
        <is>
          <t>The religion of Dostoevsky.</t>
        </is>
      </c>
      <c r="F171" t="inlineStr">
        <is>
          <t>No</t>
        </is>
      </c>
      <c r="G171" t="inlineStr">
        <is>
          <t>1</t>
        </is>
      </c>
      <c r="H171" t="inlineStr">
        <is>
          <t>No</t>
        </is>
      </c>
      <c r="I171" t="inlineStr">
        <is>
          <t>No</t>
        </is>
      </c>
      <c r="J171" t="inlineStr">
        <is>
          <t>0</t>
        </is>
      </c>
      <c r="K171" t="inlineStr">
        <is>
          <t>Gibson, A. Boyce (Alexander Boyce), 1900-1972.</t>
        </is>
      </c>
      <c r="L171" t="inlineStr">
        <is>
          <t>Philadelphia, Westminster Press [1974, c1973]</t>
        </is>
      </c>
      <c r="M171" t="inlineStr">
        <is>
          <t>1974</t>
        </is>
      </c>
      <c r="O171" t="inlineStr">
        <is>
          <t>eng</t>
        </is>
      </c>
      <c r="P171" t="inlineStr">
        <is>
          <t>pau</t>
        </is>
      </c>
      <c r="R171" t="inlineStr">
        <is>
          <t xml:space="preserve">PG </t>
        </is>
      </c>
      <c r="S171" t="n">
        <v>17</v>
      </c>
      <c r="T171" t="n">
        <v>17</v>
      </c>
      <c r="U171" t="inlineStr">
        <is>
          <t>2010-03-19</t>
        </is>
      </c>
      <c r="V171" t="inlineStr">
        <is>
          <t>2010-03-19</t>
        </is>
      </c>
      <c r="W171" t="inlineStr">
        <is>
          <t>1997-09-08</t>
        </is>
      </c>
      <c r="X171" t="inlineStr">
        <is>
          <t>1997-09-08</t>
        </is>
      </c>
      <c r="Y171" t="n">
        <v>655</v>
      </c>
      <c r="Z171" t="n">
        <v>622</v>
      </c>
      <c r="AA171" t="n">
        <v>769</v>
      </c>
      <c r="AB171" t="n">
        <v>3</v>
      </c>
      <c r="AC171" t="n">
        <v>4</v>
      </c>
      <c r="AD171" t="n">
        <v>32</v>
      </c>
      <c r="AE171" t="n">
        <v>36</v>
      </c>
      <c r="AF171" t="n">
        <v>13</v>
      </c>
      <c r="AG171" t="n">
        <v>15</v>
      </c>
      <c r="AH171" t="n">
        <v>8</v>
      </c>
      <c r="AI171" t="n">
        <v>8</v>
      </c>
      <c r="AJ171" t="n">
        <v>18</v>
      </c>
      <c r="AK171" t="n">
        <v>20</v>
      </c>
      <c r="AL171" t="n">
        <v>2</v>
      </c>
      <c r="AM171" t="n">
        <v>3</v>
      </c>
      <c r="AN171" t="n">
        <v>0</v>
      </c>
      <c r="AO171" t="n">
        <v>0</v>
      </c>
      <c r="AP171" t="inlineStr">
        <is>
          <t>No</t>
        </is>
      </c>
      <c r="AQ171" t="inlineStr">
        <is>
          <t>Yes</t>
        </is>
      </c>
      <c r="AR171">
        <f>HYPERLINK("http://catalog.hathitrust.org/Record/007105279","HathiTrust Record")</f>
        <v/>
      </c>
      <c r="AS171">
        <f>HYPERLINK("https://creighton-primo.hosted.exlibrisgroup.com/primo-explore/search?tab=default_tab&amp;search_scope=EVERYTHING&amp;vid=01CRU&amp;lang=en_US&amp;offset=0&amp;query=any,contains,991003121999702656","Catalog Record")</f>
        <v/>
      </c>
      <c r="AT171">
        <f>HYPERLINK("http://www.worldcat.org/oclc/667091","WorldCat Record")</f>
        <v/>
      </c>
      <c r="AU171" t="inlineStr">
        <is>
          <t>1678533:eng</t>
        </is>
      </c>
      <c r="AV171" t="inlineStr">
        <is>
          <t>667091</t>
        </is>
      </c>
      <c r="AW171" t="inlineStr">
        <is>
          <t>991003121999702656</t>
        </is>
      </c>
      <c r="AX171" t="inlineStr">
        <is>
          <t>991003121999702656</t>
        </is>
      </c>
      <c r="AY171" t="inlineStr">
        <is>
          <t>2256687450002656</t>
        </is>
      </c>
      <c r="AZ171" t="inlineStr">
        <is>
          <t>BOOK</t>
        </is>
      </c>
      <c r="BB171" t="inlineStr">
        <is>
          <t>9780664209896</t>
        </is>
      </c>
      <c r="BC171" t="inlineStr">
        <is>
          <t>32285003198941</t>
        </is>
      </c>
      <c r="BD171" t="inlineStr">
        <is>
          <t>893317668</t>
        </is>
      </c>
    </row>
    <row r="172">
      <c r="A172" t="inlineStr">
        <is>
          <t>No</t>
        </is>
      </c>
      <c r="B172" t="inlineStr">
        <is>
          <t>PG3328.Z7 R435</t>
        </is>
      </c>
      <c r="C172" t="inlineStr">
        <is>
          <t>0                      PG 3328000Z  7                  R  435</t>
        </is>
      </c>
      <c r="D172" t="inlineStr">
        <is>
          <t>The burden of vision : Dostoevsky's spiritual art / by George A. Panichas.</t>
        </is>
      </c>
      <c r="F172" t="inlineStr">
        <is>
          <t>No</t>
        </is>
      </c>
      <c r="G172" t="inlineStr">
        <is>
          <t>1</t>
        </is>
      </c>
      <c r="H172" t="inlineStr">
        <is>
          <t>No</t>
        </is>
      </c>
      <c r="I172" t="inlineStr">
        <is>
          <t>No</t>
        </is>
      </c>
      <c r="J172" t="inlineStr">
        <is>
          <t>0</t>
        </is>
      </c>
      <c r="K172" t="inlineStr">
        <is>
          <t>Panichas, George A., 1930-2010.</t>
        </is>
      </c>
      <c r="L172" t="inlineStr">
        <is>
          <t>Grand Rapids, Mich. : W. B. Eerdmans Pub. Co., c1977</t>
        </is>
      </c>
      <c r="M172" t="inlineStr">
        <is>
          <t>1977</t>
        </is>
      </c>
      <c r="O172" t="inlineStr">
        <is>
          <t>eng</t>
        </is>
      </c>
      <c r="P172" t="inlineStr">
        <is>
          <t>miu</t>
        </is>
      </c>
      <c r="R172" t="inlineStr">
        <is>
          <t xml:space="preserve">PG </t>
        </is>
      </c>
      <c r="S172" t="n">
        <v>5</v>
      </c>
      <c r="T172" t="n">
        <v>5</v>
      </c>
      <c r="U172" t="inlineStr">
        <is>
          <t>2010-03-19</t>
        </is>
      </c>
      <c r="V172" t="inlineStr">
        <is>
          <t>2010-03-19</t>
        </is>
      </c>
      <c r="W172" t="inlineStr">
        <is>
          <t>1997-09-08</t>
        </is>
      </c>
      <c r="X172" t="inlineStr">
        <is>
          <t>1997-09-08</t>
        </is>
      </c>
      <c r="Y172" t="n">
        <v>351</v>
      </c>
      <c r="Z172" t="n">
        <v>302</v>
      </c>
      <c r="AA172" t="n">
        <v>404</v>
      </c>
      <c r="AB172" t="n">
        <v>4</v>
      </c>
      <c r="AC172" t="n">
        <v>4</v>
      </c>
      <c r="AD172" t="n">
        <v>20</v>
      </c>
      <c r="AE172" t="n">
        <v>27</v>
      </c>
      <c r="AF172" t="n">
        <v>3</v>
      </c>
      <c r="AG172" t="n">
        <v>7</v>
      </c>
      <c r="AH172" t="n">
        <v>6</v>
      </c>
      <c r="AI172" t="n">
        <v>6</v>
      </c>
      <c r="AJ172" t="n">
        <v>11</v>
      </c>
      <c r="AK172" t="n">
        <v>16</v>
      </c>
      <c r="AL172" t="n">
        <v>3</v>
      </c>
      <c r="AM172" t="n">
        <v>3</v>
      </c>
      <c r="AN172" t="n">
        <v>0</v>
      </c>
      <c r="AO172" t="n">
        <v>0</v>
      </c>
      <c r="AP172" t="inlineStr">
        <is>
          <t>No</t>
        </is>
      </c>
      <c r="AQ172" t="inlineStr">
        <is>
          <t>Yes</t>
        </is>
      </c>
      <c r="AR172">
        <f>HYPERLINK("http://catalog.hathitrust.org/Record/000082969","HathiTrust Record")</f>
        <v/>
      </c>
      <c r="AS172">
        <f>HYPERLINK("https://creighton-primo.hosted.exlibrisgroup.com/primo-explore/search?tab=default_tab&amp;search_scope=EVERYTHING&amp;vid=01CRU&amp;lang=en_US&amp;offset=0&amp;query=any,contains,991004145069702656","Catalog Record")</f>
        <v/>
      </c>
      <c r="AT172">
        <f>HYPERLINK("http://www.worldcat.org/oclc/2508094","WorldCat Record")</f>
        <v/>
      </c>
      <c r="AU172" t="inlineStr">
        <is>
          <t>3863663645:eng</t>
        </is>
      </c>
      <c r="AV172" t="inlineStr">
        <is>
          <t>2508094</t>
        </is>
      </c>
      <c r="AW172" t="inlineStr">
        <is>
          <t>991004145069702656</t>
        </is>
      </c>
      <c r="AX172" t="inlineStr">
        <is>
          <t>991004145069702656</t>
        </is>
      </c>
      <c r="AY172" t="inlineStr">
        <is>
          <t>2254906280002656</t>
        </is>
      </c>
      <c r="AZ172" t="inlineStr">
        <is>
          <t>BOOK</t>
        </is>
      </c>
      <c r="BB172" t="inlineStr">
        <is>
          <t>9780802816719</t>
        </is>
      </c>
      <c r="BC172" t="inlineStr">
        <is>
          <t>32285003198958</t>
        </is>
      </c>
      <c r="BD172" t="inlineStr">
        <is>
          <t>893411168</t>
        </is>
      </c>
    </row>
    <row r="173">
      <c r="A173" t="inlineStr">
        <is>
          <t>No</t>
        </is>
      </c>
      <c r="B173" t="inlineStr">
        <is>
          <t>PG3332.T3 H3</t>
        </is>
      </c>
      <c r="C173" t="inlineStr">
        <is>
          <t>0                      PG 3332000T  3                  H  3</t>
        </is>
      </c>
      <c r="D173" t="inlineStr">
        <is>
          <t>Taras Bulba : a tale of the Cossacks.</t>
        </is>
      </c>
      <c r="F173" t="inlineStr">
        <is>
          <t>No</t>
        </is>
      </c>
      <c r="G173" t="inlineStr">
        <is>
          <t>1</t>
        </is>
      </c>
      <c r="H173" t="inlineStr">
        <is>
          <t>No</t>
        </is>
      </c>
      <c r="I173" t="inlineStr">
        <is>
          <t>No</t>
        </is>
      </c>
      <c r="J173" t="inlineStr">
        <is>
          <t>0</t>
        </is>
      </c>
      <c r="K173" t="inlineStr">
        <is>
          <t>Gogolʹ, Nikolaĭ Vasilʹevich, 1809-1852.</t>
        </is>
      </c>
      <c r="L173" t="inlineStr">
        <is>
          <t>New York : Harper, [c1915]</t>
        </is>
      </c>
      <c r="M173" t="inlineStr">
        <is>
          <t>1915</t>
        </is>
      </c>
      <c r="O173" t="inlineStr">
        <is>
          <t>eng</t>
        </is>
      </c>
      <c r="P173" t="inlineStr">
        <is>
          <t>nyu</t>
        </is>
      </c>
      <c r="Q173" t="inlineStr">
        <is>
          <t>Continental classics ; v. 1</t>
        </is>
      </c>
      <c r="R173" t="inlineStr">
        <is>
          <t xml:space="preserve">PG </t>
        </is>
      </c>
      <c r="S173" t="n">
        <v>10</v>
      </c>
      <c r="T173" t="n">
        <v>10</v>
      </c>
      <c r="U173" t="inlineStr">
        <is>
          <t>2001-08-25</t>
        </is>
      </c>
      <c r="V173" t="inlineStr">
        <is>
          <t>2001-08-25</t>
        </is>
      </c>
      <c r="W173" t="inlineStr">
        <is>
          <t>1991-11-07</t>
        </is>
      </c>
      <c r="X173" t="inlineStr">
        <is>
          <t>1991-11-07</t>
        </is>
      </c>
      <c r="Y173" t="n">
        <v>77</v>
      </c>
      <c r="Z173" t="n">
        <v>75</v>
      </c>
      <c r="AA173" t="n">
        <v>847</v>
      </c>
      <c r="AB173" t="n">
        <v>2</v>
      </c>
      <c r="AC173" t="n">
        <v>5</v>
      </c>
      <c r="AD173" t="n">
        <v>2</v>
      </c>
      <c r="AE173" t="n">
        <v>31</v>
      </c>
      <c r="AF173" t="n">
        <v>1</v>
      </c>
      <c r="AG173" t="n">
        <v>12</v>
      </c>
      <c r="AH173" t="n">
        <v>0</v>
      </c>
      <c r="AI173" t="n">
        <v>9</v>
      </c>
      <c r="AJ173" t="n">
        <v>0</v>
      </c>
      <c r="AK173" t="n">
        <v>17</v>
      </c>
      <c r="AL173" t="n">
        <v>1</v>
      </c>
      <c r="AM173" t="n">
        <v>3</v>
      </c>
      <c r="AN173" t="n">
        <v>0</v>
      </c>
      <c r="AO173" t="n">
        <v>0</v>
      </c>
      <c r="AP173" t="inlineStr">
        <is>
          <t>No</t>
        </is>
      </c>
      <c r="AQ173" t="inlineStr">
        <is>
          <t>No</t>
        </is>
      </c>
      <c r="AS173">
        <f>HYPERLINK("https://creighton-primo.hosted.exlibrisgroup.com/primo-explore/search?tab=default_tab&amp;search_scope=EVERYTHING&amp;vid=01CRU&amp;lang=en_US&amp;offset=0&amp;query=any,contains,991002329849702656","Catalog Record")</f>
        <v/>
      </c>
      <c r="AT173">
        <f>HYPERLINK("http://www.worldcat.org/oclc/322245","WorldCat Record")</f>
        <v/>
      </c>
      <c r="AU173" t="inlineStr">
        <is>
          <t>4917144371:eng</t>
        </is>
      </c>
      <c r="AV173" t="inlineStr">
        <is>
          <t>322245</t>
        </is>
      </c>
      <c r="AW173" t="inlineStr">
        <is>
          <t>991002329849702656</t>
        </is>
      </c>
      <c r="AX173" t="inlineStr">
        <is>
          <t>991002329849702656</t>
        </is>
      </c>
      <c r="AY173" t="inlineStr">
        <is>
          <t>2256994260002656</t>
        </is>
      </c>
      <c r="AZ173" t="inlineStr">
        <is>
          <t>BOOK</t>
        </is>
      </c>
      <c r="BC173" t="inlineStr">
        <is>
          <t>32285000796721</t>
        </is>
      </c>
      <c r="BD173" t="inlineStr">
        <is>
          <t>893257159</t>
        </is>
      </c>
    </row>
    <row r="174">
      <c r="A174" t="inlineStr">
        <is>
          <t>No</t>
        </is>
      </c>
      <c r="B174" t="inlineStr">
        <is>
          <t>PG3335 .L52</t>
        </is>
      </c>
      <c r="C174" t="inlineStr">
        <is>
          <t>0                      PG 3335000L  52</t>
        </is>
      </c>
      <c r="D174" t="inlineStr">
        <is>
          <t>Nikolay Gogol.</t>
        </is>
      </c>
      <c r="F174" t="inlineStr">
        <is>
          <t>No</t>
        </is>
      </c>
      <c r="G174" t="inlineStr">
        <is>
          <t>1</t>
        </is>
      </c>
      <c r="H174" t="inlineStr">
        <is>
          <t>No</t>
        </is>
      </c>
      <c r="I174" t="inlineStr">
        <is>
          <t>No</t>
        </is>
      </c>
      <c r="J174" t="inlineStr">
        <is>
          <t>0</t>
        </is>
      </c>
      <c r="K174" t="inlineStr">
        <is>
          <t>Lindstrom, Thaïs S.</t>
        </is>
      </c>
      <c r="L174" t="inlineStr">
        <is>
          <t>New York : Twayne Publishers, [1974]</t>
        </is>
      </c>
      <c r="M174" t="inlineStr">
        <is>
          <t>1974</t>
        </is>
      </c>
      <c r="O174" t="inlineStr">
        <is>
          <t>eng</t>
        </is>
      </c>
      <c r="P174" t="inlineStr">
        <is>
          <t>nyu</t>
        </is>
      </c>
      <c r="Q174" t="inlineStr">
        <is>
          <t>Twayne's world authors series, TWAS 299. Russia</t>
        </is>
      </c>
      <c r="R174" t="inlineStr">
        <is>
          <t xml:space="preserve">PG </t>
        </is>
      </c>
      <c r="S174" t="n">
        <v>1</v>
      </c>
      <c r="T174" t="n">
        <v>1</v>
      </c>
      <c r="U174" t="inlineStr">
        <is>
          <t>1997-02-07</t>
        </is>
      </c>
      <c r="V174" t="inlineStr">
        <is>
          <t>1997-02-07</t>
        </is>
      </c>
      <c r="W174" t="inlineStr">
        <is>
          <t>1993-12-13</t>
        </is>
      </c>
      <c r="X174" t="inlineStr">
        <is>
          <t>1993-12-13</t>
        </is>
      </c>
      <c r="Y174" t="n">
        <v>817</v>
      </c>
      <c r="Z174" t="n">
        <v>734</v>
      </c>
      <c r="AA174" t="n">
        <v>871</v>
      </c>
      <c r="AB174" t="n">
        <v>5</v>
      </c>
      <c r="AC174" t="n">
        <v>5</v>
      </c>
      <c r="AD174" t="n">
        <v>21</v>
      </c>
      <c r="AE174" t="n">
        <v>25</v>
      </c>
      <c r="AF174" t="n">
        <v>11</v>
      </c>
      <c r="AG174" t="n">
        <v>14</v>
      </c>
      <c r="AH174" t="n">
        <v>4</v>
      </c>
      <c r="AI174" t="n">
        <v>4</v>
      </c>
      <c r="AJ174" t="n">
        <v>9</v>
      </c>
      <c r="AK174" t="n">
        <v>12</v>
      </c>
      <c r="AL174" t="n">
        <v>3</v>
      </c>
      <c r="AM174" t="n">
        <v>3</v>
      </c>
      <c r="AN174" t="n">
        <v>0</v>
      </c>
      <c r="AO174" t="n">
        <v>0</v>
      </c>
      <c r="AP174" t="inlineStr">
        <is>
          <t>No</t>
        </is>
      </c>
      <c r="AQ174" t="inlineStr">
        <is>
          <t>Yes</t>
        </is>
      </c>
      <c r="AR174">
        <f>HYPERLINK("http://catalog.hathitrust.org/Record/001227903","HathiTrust Record")</f>
        <v/>
      </c>
      <c r="AS174">
        <f>HYPERLINK("https://creighton-primo.hosted.exlibrisgroup.com/primo-explore/search?tab=default_tab&amp;search_scope=EVERYTHING&amp;vid=01CRU&amp;lang=en_US&amp;offset=0&amp;query=any,contains,991003206009702656","Catalog Record")</f>
        <v/>
      </c>
      <c r="AT174">
        <f>HYPERLINK("http://www.worldcat.org/oclc/730791","WorldCat Record")</f>
        <v/>
      </c>
      <c r="AU174" t="inlineStr">
        <is>
          <t>3857823448:eng</t>
        </is>
      </c>
      <c r="AV174" t="inlineStr">
        <is>
          <t>730791</t>
        </is>
      </c>
      <c r="AW174" t="inlineStr">
        <is>
          <t>991003206009702656</t>
        </is>
      </c>
      <c r="AX174" t="inlineStr">
        <is>
          <t>991003206009702656</t>
        </is>
      </c>
      <c r="AY174" t="inlineStr">
        <is>
          <t>2267181440002656</t>
        </is>
      </c>
      <c r="AZ174" t="inlineStr">
        <is>
          <t>BOOK</t>
        </is>
      </c>
      <c r="BB174" t="inlineStr">
        <is>
          <t>9780805723779</t>
        </is>
      </c>
      <c r="BC174" t="inlineStr">
        <is>
          <t>32285001808061</t>
        </is>
      </c>
      <c r="BD174" t="inlineStr">
        <is>
          <t>893787074</t>
        </is>
      </c>
    </row>
    <row r="175">
      <c r="A175" t="inlineStr">
        <is>
          <t>No</t>
        </is>
      </c>
      <c r="B175" t="inlineStr">
        <is>
          <t>PG3335 .S4213</t>
        </is>
      </c>
      <c r="C175" t="inlineStr">
        <is>
          <t>0                      PG 3335000S  4213</t>
        </is>
      </c>
      <c r="D175" t="inlineStr">
        <is>
          <t>Gogol: his life and works, by Vsevolod Setchkarev. Translated by Robert Kramer.</t>
        </is>
      </c>
      <c r="F175" t="inlineStr">
        <is>
          <t>No</t>
        </is>
      </c>
      <c r="G175" t="inlineStr">
        <is>
          <t>1</t>
        </is>
      </c>
      <c r="H175" t="inlineStr">
        <is>
          <t>No</t>
        </is>
      </c>
      <c r="I175" t="inlineStr">
        <is>
          <t>No</t>
        </is>
      </c>
      <c r="J175" t="inlineStr">
        <is>
          <t>0</t>
        </is>
      </c>
      <c r="K175" t="inlineStr">
        <is>
          <t>Setchkarev, Vsevolod, 1914-1998.</t>
        </is>
      </c>
      <c r="L175" t="inlineStr">
        <is>
          <t>[New York] New York University Press, 1965.</t>
        </is>
      </c>
      <c r="M175" t="inlineStr">
        <is>
          <t>1965</t>
        </is>
      </c>
      <c r="O175" t="inlineStr">
        <is>
          <t>eng</t>
        </is>
      </c>
      <c r="P175" t="inlineStr">
        <is>
          <t>nyu</t>
        </is>
      </c>
      <c r="R175" t="inlineStr">
        <is>
          <t xml:space="preserve">PG </t>
        </is>
      </c>
      <c r="S175" t="n">
        <v>8</v>
      </c>
      <c r="T175" t="n">
        <v>8</v>
      </c>
      <c r="U175" t="inlineStr">
        <is>
          <t>1999-11-15</t>
        </is>
      </c>
      <c r="V175" t="inlineStr">
        <is>
          <t>1999-11-15</t>
        </is>
      </c>
      <c r="W175" t="inlineStr">
        <is>
          <t>1991-12-18</t>
        </is>
      </c>
      <c r="X175" t="inlineStr">
        <is>
          <t>1991-12-18</t>
        </is>
      </c>
      <c r="Y175" t="n">
        <v>801</v>
      </c>
      <c r="Z175" t="n">
        <v>751</v>
      </c>
      <c r="AA175" t="n">
        <v>774</v>
      </c>
      <c r="AB175" t="n">
        <v>5</v>
      </c>
      <c r="AC175" t="n">
        <v>5</v>
      </c>
      <c r="AD175" t="n">
        <v>30</v>
      </c>
      <c r="AE175" t="n">
        <v>30</v>
      </c>
      <c r="AF175" t="n">
        <v>13</v>
      </c>
      <c r="AG175" t="n">
        <v>13</v>
      </c>
      <c r="AH175" t="n">
        <v>6</v>
      </c>
      <c r="AI175" t="n">
        <v>6</v>
      </c>
      <c r="AJ175" t="n">
        <v>16</v>
      </c>
      <c r="AK175" t="n">
        <v>16</v>
      </c>
      <c r="AL175" t="n">
        <v>4</v>
      </c>
      <c r="AM175" t="n">
        <v>4</v>
      </c>
      <c r="AN175" t="n">
        <v>0</v>
      </c>
      <c r="AO175" t="n">
        <v>0</v>
      </c>
      <c r="AP175" t="inlineStr">
        <is>
          <t>No</t>
        </is>
      </c>
      <c r="AQ175" t="inlineStr">
        <is>
          <t>Yes</t>
        </is>
      </c>
      <c r="AR175">
        <f>HYPERLINK("http://catalog.hathitrust.org/Record/001224757","HathiTrust Record")</f>
        <v/>
      </c>
      <c r="AS175">
        <f>HYPERLINK("https://creighton-primo.hosted.exlibrisgroup.com/primo-explore/search?tab=default_tab&amp;search_scope=EVERYTHING&amp;vid=01CRU&amp;lang=en_US&amp;offset=0&amp;query=any,contains,991002311939702656","Catalog Record")</f>
        <v/>
      </c>
      <c r="AT175">
        <f>HYPERLINK("http://www.worldcat.org/oclc/40697465","WorldCat Record")</f>
        <v/>
      </c>
      <c r="AU175" t="inlineStr">
        <is>
          <t>149008372:eng</t>
        </is>
      </c>
      <c r="AV175" t="inlineStr">
        <is>
          <t>40697465</t>
        </is>
      </c>
      <c r="AW175" t="inlineStr">
        <is>
          <t>991002311939702656</t>
        </is>
      </c>
      <c r="AX175" t="inlineStr">
        <is>
          <t>991002311939702656</t>
        </is>
      </c>
      <c r="AY175" t="inlineStr">
        <is>
          <t>2268248970002656</t>
        </is>
      </c>
      <c r="AZ175" t="inlineStr">
        <is>
          <t>BOOK</t>
        </is>
      </c>
      <c r="BC175" t="inlineStr">
        <is>
          <t>32285000896091</t>
        </is>
      </c>
      <c r="BD175" t="inlineStr">
        <is>
          <t>893523453</t>
        </is>
      </c>
    </row>
    <row r="176">
      <c r="A176" t="inlineStr">
        <is>
          <t>No</t>
        </is>
      </c>
      <c r="B176" t="inlineStr">
        <is>
          <t>PG3337.G6 O12 1958</t>
        </is>
      </c>
      <c r="C176" t="inlineStr">
        <is>
          <t>0                      PG 3337000G  6                  O  12          1958</t>
        </is>
      </c>
      <c r="D176" t="inlineStr">
        <is>
          <t>Oblomov.</t>
        </is>
      </c>
      <c r="F176" t="inlineStr">
        <is>
          <t>No</t>
        </is>
      </c>
      <c r="G176" t="inlineStr">
        <is>
          <t>1</t>
        </is>
      </c>
      <c r="H176" t="inlineStr">
        <is>
          <t>No</t>
        </is>
      </c>
      <c r="I176" t="inlineStr">
        <is>
          <t>No</t>
        </is>
      </c>
      <c r="J176" t="inlineStr">
        <is>
          <t>0</t>
        </is>
      </c>
      <c r="K176" t="inlineStr">
        <is>
          <t>Goncharov, Ivan Aleksandrovich, 1812-1891.</t>
        </is>
      </c>
      <c r="L176" t="inlineStr">
        <is>
          <t>Moskva : Gos. uchebno-pedagog. izd-vo, 1958.</t>
        </is>
      </c>
      <c r="M176" t="inlineStr">
        <is>
          <t>1958</t>
        </is>
      </c>
      <c r="O176" t="inlineStr">
        <is>
          <t>rus</t>
        </is>
      </c>
      <c r="P176" t="inlineStr">
        <is>
          <t xml:space="preserve">ru </t>
        </is>
      </c>
      <c r="Q176" t="inlineStr">
        <is>
          <t>Biblioteka shkolʹnika</t>
        </is>
      </c>
      <c r="R176" t="inlineStr">
        <is>
          <t xml:space="preserve">PG </t>
        </is>
      </c>
      <c r="S176" t="n">
        <v>1</v>
      </c>
      <c r="T176" t="n">
        <v>1</v>
      </c>
      <c r="U176" t="inlineStr">
        <is>
          <t>2001-09-04</t>
        </is>
      </c>
      <c r="V176" t="inlineStr">
        <is>
          <t>2001-09-04</t>
        </is>
      </c>
      <c r="W176" t="inlineStr">
        <is>
          <t>1997-12-23</t>
        </is>
      </c>
      <c r="X176" t="inlineStr">
        <is>
          <t>1997-12-23</t>
        </is>
      </c>
      <c r="Y176" t="n">
        <v>41</v>
      </c>
      <c r="Z176" t="n">
        <v>38</v>
      </c>
      <c r="AA176" t="n">
        <v>195</v>
      </c>
      <c r="AB176" t="n">
        <v>1</v>
      </c>
      <c r="AC176" t="n">
        <v>2</v>
      </c>
      <c r="AD176" t="n">
        <v>2</v>
      </c>
      <c r="AE176" t="n">
        <v>9</v>
      </c>
      <c r="AF176" t="n">
        <v>0</v>
      </c>
      <c r="AG176" t="n">
        <v>2</v>
      </c>
      <c r="AH176" t="n">
        <v>1</v>
      </c>
      <c r="AI176" t="n">
        <v>4</v>
      </c>
      <c r="AJ176" t="n">
        <v>1</v>
      </c>
      <c r="AK176" t="n">
        <v>5</v>
      </c>
      <c r="AL176" t="n">
        <v>0</v>
      </c>
      <c r="AM176" t="n">
        <v>1</v>
      </c>
      <c r="AN176" t="n">
        <v>0</v>
      </c>
      <c r="AO176" t="n">
        <v>0</v>
      </c>
      <c r="AP176" t="inlineStr">
        <is>
          <t>No</t>
        </is>
      </c>
      <c r="AQ176" t="inlineStr">
        <is>
          <t>No</t>
        </is>
      </c>
      <c r="AS176">
        <f>HYPERLINK("https://creighton-primo.hosted.exlibrisgroup.com/primo-explore/search?tab=default_tab&amp;search_scope=EVERYTHING&amp;vid=01CRU&amp;lang=en_US&amp;offset=0&amp;query=any,contains,991004988019702656","Catalog Record")</f>
        <v/>
      </c>
      <c r="AT176">
        <f>HYPERLINK("http://www.worldcat.org/oclc/6473283","WorldCat Record")</f>
        <v/>
      </c>
      <c r="AU176" t="inlineStr">
        <is>
          <t>3377347461:rus</t>
        </is>
      </c>
      <c r="AV176" t="inlineStr">
        <is>
          <t>6473283</t>
        </is>
      </c>
      <c r="AW176" t="inlineStr">
        <is>
          <t>991004988019702656</t>
        </is>
      </c>
      <c r="AX176" t="inlineStr">
        <is>
          <t>991004988019702656</t>
        </is>
      </c>
      <c r="AY176" t="inlineStr">
        <is>
          <t>2255543700002656</t>
        </is>
      </c>
      <c r="AZ176" t="inlineStr">
        <is>
          <t>BOOK</t>
        </is>
      </c>
      <c r="BC176" t="inlineStr">
        <is>
          <t>32285003284600</t>
        </is>
      </c>
      <c r="BD176" t="inlineStr">
        <is>
          <t>893707085</t>
        </is>
      </c>
    </row>
    <row r="177">
      <c r="A177" t="inlineStr">
        <is>
          <t>No</t>
        </is>
      </c>
      <c r="B177" t="inlineStr">
        <is>
          <t>PG3337.K7 B3 2002</t>
        </is>
      </c>
      <c r="C177" t="inlineStr">
        <is>
          <t>0                      PG 3337000K  7                  B  3           2002</t>
        </is>
      </c>
      <c r="D177" t="inlineStr">
        <is>
          <t>Basni / I. Krylov.</t>
        </is>
      </c>
      <c r="F177" t="inlineStr">
        <is>
          <t>No</t>
        </is>
      </c>
      <c r="G177" t="inlineStr">
        <is>
          <t>1</t>
        </is>
      </c>
      <c r="H177" t="inlineStr">
        <is>
          <t>No</t>
        </is>
      </c>
      <c r="I177" t="inlineStr">
        <is>
          <t>Yes</t>
        </is>
      </c>
      <c r="J177" t="inlineStr">
        <is>
          <t>0</t>
        </is>
      </c>
      <c r="K177" t="inlineStr">
        <is>
          <t>Krylov, Ivan Andreevich, 1768-1844.</t>
        </is>
      </c>
      <c r="L177" t="inlineStr">
        <is>
          <t>Moskva : Izd-vo "AST", 2002.</t>
        </is>
      </c>
      <c r="M177" t="inlineStr">
        <is>
          <t>2002</t>
        </is>
      </c>
      <c r="O177" t="inlineStr">
        <is>
          <t>rus</t>
        </is>
      </c>
      <c r="P177" t="inlineStr">
        <is>
          <t xml:space="preserve">ru </t>
        </is>
      </c>
      <c r="Q177" t="inlineStr">
        <is>
          <t>Mirovai͡a klassika</t>
        </is>
      </c>
      <c r="R177" t="inlineStr">
        <is>
          <t xml:space="preserve">PG </t>
        </is>
      </c>
      <c r="S177" t="n">
        <v>2</v>
      </c>
      <c r="T177" t="n">
        <v>2</v>
      </c>
      <c r="U177" t="inlineStr">
        <is>
          <t>2010-09-22</t>
        </is>
      </c>
      <c r="V177" t="inlineStr">
        <is>
          <t>2010-09-22</t>
        </is>
      </c>
      <c r="W177" t="inlineStr">
        <is>
          <t>2008-04-17</t>
        </is>
      </c>
      <c r="X177" t="inlineStr">
        <is>
          <t>2008-04-17</t>
        </is>
      </c>
      <c r="Y177" t="n">
        <v>2</v>
      </c>
      <c r="Z177" t="n">
        <v>1</v>
      </c>
      <c r="AA177" t="n">
        <v>367</v>
      </c>
      <c r="AB177" t="n">
        <v>1</v>
      </c>
      <c r="AC177" t="n">
        <v>2</v>
      </c>
      <c r="AD177" t="n">
        <v>0</v>
      </c>
      <c r="AE177" t="n">
        <v>11</v>
      </c>
      <c r="AF177" t="n">
        <v>0</v>
      </c>
      <c r="AG177" t="n">
        <v>2</v>
      </c>
      <c r="AH177" t="n">
        <v>0</v>
      </c>
      <c r="AI177" t="n">
        <v>4</v>
      </c>
      <c r="AJ177" t="n">
        <v>0</v>
      </c>
      <c r="AK177" t="n">
        <v>5</v>
      </c>
      <c r="AL177" t="n">
        <v>0</v>
      </c>
      <c r="AM177" t="n">
        <v>1</v>
      </c>
      <c r="AN177" t="n">
        <v>0</v>
      </c>
      <c r="AO177" t="n">
        <v>0</v>
      </c>
      <c r="AP177" t="inlineStr">
        <is>
          <t>No</t>
        </is>
      </c>
      <c r="AQ177" t="inlineStr">
        <is>
          <t>No</t>
        </is>
      </c>
      <c r="AS177">
        <f>HYPERLINK("https://creighton-primo.hosted.exlibrisgroup.com/primo-explore/search?tab=default_tab&amp;search_scope=EVERYTHING&amp;vid=01CRU&amp;lang=en_US&amp;offset=0&amp;query=any,contains,991005206609702656","Catalog Record")</f>
        <v/>
      </c>
      <c r="AT177">
        <f>HYPERLINK("http://www.worldcat.org/oclc/58721904","WorldCat Record")</f>
        <v/>
      </c>
      <c r="AU177" t="inlineStr">
        <is>
          <t>2517108492:rus</t>
        </is>
      </c>
      <c r="AV177" t="inlineStr">
        <is>
          <t>58721904</t>
        </is>
      </c>
      <c r="AW177" t="inlineStr">
        <is>
          <t>991005206609702656</t>
        </is>
      </c>
      <c r="AX177" t="inlineStr">
        <is>
          <t>991005206609702656</t>
        </is>
      </c>
      <c r="AY177" t="inlineStr">
        <is>
          <t>2266741800002656</t>
        </is>
      </c>
      <c r="AZ177" t="inlineStr">
        <is>
          <t>BOOK</t>
        </is>
      </c>
      <c r="BB177" t="inlineStr">
        <is>
          <t>9785170141227</t>
        </is>
      </c>
      <c r="BC177" t="inlineStr">
        <is>
          <t>32285005403760</t>
        </is>
      </c>
      <c r="BD177" t="inlineStr">
        <is>
          <t>893242372</t>
        </is>
      </c>
    </row>
    <row r="178">
      <c r="A178" t="inlineStr">
        <is>
          <t>No</t>
        </is>
      </c>
      <c r="B178" t="inlineStr">
        <is>
          <t>PG3337.L4 P6 2004</t>
        </is>
      </c>
      <c r="C178" t="inlineStr">
        <is>
          <t>0                      PG 3337000L  4                  P  6           2004</t>
        </is>
      </c>
      <c r="D178" t="inlineStr">
        <is>
          <t>Poėmy ; Geroĭ nashego vremeni / M. I͡U. Lermontov.</t>
        </is>
      </c>
      <c r="F178" t="inlineStr">
        <is>
          <t>No</t>
        </is>
      </c>
      <c r="G178" t="inlineStr">
        <is>
          <t>1</t>
        </is>
      </c>
      <c r="H178" t="inlineStr">
        <is>
          <t>No</t>
        </is>
      </c>
      <c r="I178" t="inlineStr">
        <is>
          <t>No</t>
        </is>
      </c>
      <c r="J178" t="inlineStr">
        <is>
          <t>0</t>
        </is>
      </c>
      <c r="K178" t="inlineStr">
        <is>
          <t>Lermontov, Mikhail I︠U︡rʹevich, 1814-1841.</t>
        </is>
      </c>
      <c r="L178" t="inlineStr">
        <is>
          <t>Moskva : AST, 2004.</t>
        </is>
      </c>
      <c r="M178" t="inlineStr">
        <is>
          <t>2004</t>
        </is>
      </c>
      <c r="O178" t="inlineStr">
        <is>
          <t>rus</t>
        </is>
      </c>
      <c r="P178" t="inlineStr">
        <is>
          <t xml:space="preserve">ru </t>
        </is>
      </c>
      <c r="Q178" t="inlineStr">
        <is>
          <t>Mirovai͡a klassika</t>
        </is>
      </c>
      <c r="R178" t="inlineStr">
        <is>
          <t xml:space="preserve">PG </t>
        </is>
      </c>
      <c r="S178" t="n">
        <v>2</v>
      </c>
      <c r="T178" t="n">
        <v>2</v>
      </c>
      <c r="U178" t="inlineStr">
        <is>
          <t>2009-02-26</t>
        </is>
      </c>
      <c r="V178" t="inlineStr">
        <is>
          <t>2009-02-26</t>
        </is>
      </c>
      <c r="W178" t="inlineStr">
        <is>
          <t>2008-04-17</t>
        </is>
      </c>
      <c r="X178" t="inlineStr">
        <is>
          <t>2008-04-17</t>
        </is>
      </c>
      <c r="Y178" t="n">
        <v>5</v>
      </c>
      <c r="Z178" t="n">
        <v>3</v>
      </c>
      <c r="AA178" t="n">
        <v>16</v>
      </c>
      <c r="AB178" t="n">
        <v>1</v>
      </c>
      <c r="AC178" t="n">
        <v>1</v>
      </c>
      <c r="AD178" t="n">
        <v>0</v>
      </c>
      <c r="AE178" t="n">
        <v>0</v>
      </c>
      <c r="AF178" t="n">
        <v>0</v>
      </c>
      <c r="AG178" t="n">
        <v>0</v>
      </c>
      <c r="AH178" t="n">
        <v>0</v>
      </c>
      <c r="AI178" t="n">
        <v>0</v>
      </c>
      <c r="AJ178" t="n">
        <v>0</v>
      </c>
      <c r="AK178" t="n">
        <v>0</v>
      </c>
      <c r="AL178" t="n">
        <v>0</v>
      </c>
      <c r="AM178" t="n">
        <v>0</v>
      </c>
      <c r="AN178" t="n">
        <v>0</v>
      </c>
      <c r="AO178" t="n">
        <v>0</v>
      </c>
      <c r="AP178" t="inlineStr">
        <is>
          <t>No</t>
        </is>
      </c>
      <c r="AQ178" t="inlineStr">
        <is>
          <t>No</t>
        </is>
      </c>
      <c r="AS178">
        <f>HYPERLINK("https://creighton-primo.hosted.exlibrisgroup.com/primo-explore/search?tab=default_tab&amp;search_scope=EVERYTHING&amp;vid=01CRU&amp;lang=en_US&amp;offset=0&amp;query=any,contains,991005206589702656","Catalog Record")</f>
        <v/>
      </c>
      <c r="AT178">
        <f>HYPERLINK("http://www.worldcat.org/oclc/56780420","WorldCat Record")</f>
        <v/>
      </c>
      <c r="AU178" t="inlineStr">
        <is>
          <t>56594159:rus</t>
        </is>
      </c>
      <c r="AV178" t="inlineStr">
        <is>
          <t>56780420</t>
        </is>
      </c>
      <c r="AW178" t="inlineStr">
        <is>
          <t>991005206589702656</t>
        </is>
      </c>
      <c r="AX178" t="inlineStr">
        <is>
          <t>991005206589702656</t>
        </is>
      </c>
      <c r="AY178" t="inlineStr">
        <is>
          <t>2258144900002656</t>
        </is>
      </c>
      <c r="AZ178" t="inlineStr">
        <is>
          <t>BOOK</t>
        </is>
      </c>
      <c r="BB178" t="inlineStr">
        <is>
          <t>9785170113361</t>
        </is>
      </c>
      <c r="BC178" t="inlineStr">
        <is>
          <t>32285005403752</t>
        </is>
      </c>
      <c r="BD178" t="inlineStr">
        <is>
          <t>893236479</t>
        </is>
      </c>
    </row>
    <row r="179">
      <c r="A179" t="inlineStr">
        <is>
          <t>No</t>
        </is>
      </c>
      <c r="B179" t="inlineStr">
        <is>
          <t>PG3337.O8 A247</t>
        </is>
      </c>
      <c r="C179" t="inlineStr">
        <is>
          <t>0                      PG 3337000O  8                  A  247</t>
        </is>
      </c>
      <c r="D179" t="inlineStr">
        <is>
          <t>Easy money, and two other plays : Even a wise man stumbles and Wolves and sheep / Alexander Ostrovsky ; translated [from the Russian] with introduction and notes by David Magarshack.</t>
        </is>
      </c>
      <c r="F179" t="inlineStr">
        <is>
          <t>No</t>
        </is>
      </c>
      <c r="G179" t="inlineStr">
        <is>
          <t>1</t>
        </is>
      </c>
      <c r="H179" t="inlineStr">
        <is>
          <t>No</t>
        </is>
      </c>
      <c r="I179" t="inlineStr">
        <is>
          <t>No</t>
        </is>
      </c>
      <c r="J179" t="inlineStr">
        <is>
          <t>0</t>
        </is>
      </c>
      <c r="K179" t="inlineStr">
        <is>
          <t>Ostrovsky, Aleksandr Nikolaevich, 1823-1886.</t>
        </is>
      </c>
      <c r="L179" t="inlineStr">
        <is>
          <t>Westport, Conn. : Greenwood Press, [1970]</t>
        </is>
      </c>
      <c r="M179" t="inlineStr">
        <is>
          <t>1970</t>
        </is>
      </c>
      <c r="O179" t="inlineStr">
        <is>
          <t>eng</t>
        </is>
      </c>
      <c r="P179" t="inlineStr">
        <is>
          <t>ctu</t>
        </is>
      </c>
      <c r="R179" t="inlineStr">
        <is>
          <t xml:space="preserve">PG </t>
        </is>
      </c>
      <c r="S179" t="n">
        <v>1</v>
      </c>
      <c r="T179" t="n">
        <v>1</v>
      </c>
      <c r="U179" t="inlineStr">
        <is>
          <t>1998-02-20</t>
        </is>
      </c>
      <c r="V179" t="inlineStr">
        <is>
          <t>1998-02-20</t>
        </is>
      </c>
      <c r="W179" t="inlineStr">
        <is>
          <t>1997-09-08</t>
        </is>
      </c>
      <c r="X179" t="inlineStr">
        <is>
          <t>1997-09-08</t>
        </is>
      </c>
      <c r="Y179" t="n">
        <v>203</v>
      </c>
      <c r="Z179" t="n">
        <v>179</v>
      </c>
      <c r="AA179" t="n">
        <v>375</v>
      </c>
      <c r="AB179" t="n">
        <v>3</v>
      </c>
      <c r="AC179" t="n">
        <v>4</v>
      </c>
      <c r="AD179" t="n">
        <v>10</v>
      </c>
      <c r="AE179" t="n">
        <v>18</v>
      </c>
      <c r="AF179" t="n">
        <v>3</v>
      </c>
      <c r="AG179" t="n">
        <v>4</v>
      </c>
      <c r="AH179" t="n">
        <v>2</v>
      </c>
      <c r="AI179" t="n">
        <v>4</v>
      </c>
      <c r="AJ179" t="n">
        <v>5</v>
      </c>
      <c r="AK179" t="n">
        <v>9</v>
      </c>
      <c r="AL179" t="n">
        <v>2</v>
      </c>
      <c r="AM179" t="n">
        <v>3</v>
      </c>
      <c r="AN179" t="n">
        <v>0</v>
      </c>
      <c r="AO179" t="n">
        <v>0</v>
      </c>
      <c r="AP179" t="inlineStr">
        <is>
          <t>No</t>
        </is>
      </c>
      <c r="AQ179" t="inlineStr">
        <is>
          <t>Yes</t>
        </is>
      </c>
      <c r="AR179">
        <f>HYPERLINK("http://catalog.hathitrust.org/Record/012265205","HathiTrust Record")</f>
        <v/>
      </c>
      <c r="AS179">
        <f>HYPERLINK("https://creighton-primo.hosted.exlibrisgroup.com/primo-explore/search?tab=default_tab&amp;search_scope=EVERYTHING&amp;vid=01CRU&amp;lang=en_US&amp;offset=0&amp;query=any,contains,991000641239702656","Catalog Record")</f>
        <v/>
      </c>
      <c r="AT179">
        <f>HYPERLINK("http://www.worldcat.org/oclc/109711","WorldCat Record")</f>
        <v/>
      </c>
      <c r="AU179" t="inlineStr">
        <is>
          <t>5481385003:eng</t>
        </is>
      </c>
      <c r="AV179" t="inlineStr">
        <is>
          <t>109711</t>
        </is>
      </c>
      <c r="AW179" t="inlineStr">
        <is>
          <t>991000641239702656</t>
        </is>
      </c>
      <c r="AX179" t="inlineStr">
        <is>
          <t>991000641239702656</t>
        </is>
      </c>
      <c r="AY179" t="inlineStr">
        <is>
          <t>2254937990002656</t>
        </is>
      </c>
      <c r="AZ179" t="inlineStr">
        <is>
          <t>BOOK</t>
        </is>
      </c>
      <c r="BB179" t="inlineStr">
        <is>
          <t>9780837145327</t>
        </is>
      </c>
      <c r="BC179" t="inlineStr">
        <is>
          <t>32285003199055</t>
        </is>
      </c>
      <c r="BD179" t="inlineStr">
        <is>
          <t>893771822</t>
        </is>
      </c>
    </row>
    <row r="180">
      <c r="A180" t="inlineStr">
        <is>
          <t>No</t>
        </is>
      </c>
      <c r="B180" t="inlineStr">
        <is>
          <t>PG3337.O8 A25 1969</t>
        </is>
      </c>
      <c r="C180" t="inlineStr">
        <is>
          <t>0                      PG 3337000O  8                  A  25          1969</t>
        </is>
      </c>
      <c r="D180" t="inlineStr">
        <is>
          <t>Plays by Alexander Ostrovsky ... a translation from the Russian, edited by George Rapall Noyes.</t>
        </is>
      </c>
      <c r="F180" t="inlineStr">
        <is>
          <t>No</t>
        </is>
      </c>
      <c r="G180" t="inlineStr">
        <is>
          <t>1</t>
        </is>
      </c>
      <c r="H180" t="inlineStr">
        <is>
          <t>No</t>
        </is>
      </c>
      <c r="I180" t="inlineStr">
        <is>
          <t>No</t>
        </is>
      </c>
      <c r="J180" t="inlineStr">
        <is>
          <t>0</t>
        </is>
      </c>
      <c r="K180" t="inlineStr">
        <is>
          <t>Ostrovsky, Aleksandr Nikolaevich, 1823-1886.</t>
        </is>
      </c>
      <c r="L180" t="inlineStr">
        <is>
          <t>New York, AMS Press [1969]</t>
        </is>
      </c>
      <c r="M180" t="inlineStr">
        <is>
          <t>1969</t>
        </is>
      </c>
      <c r="O180" t="inlineStr">
        <is>
          <t>eng</t>
        </is>
      </c>
      <c r="P180" t="inlineStr">
        <is>
          <t>nyu</t>
        </is>
      </c>
      <c r="R180" t="inlineStr">
        <is>
          <t xml:space="preserve">PG </t>
        </is>
      </c>
      <c r="S180" t="n">
        <v>1</v>
      </c>
      <c r="T180" t="n">
        <v>1</v>
      </c>
      <c r="U180" t="inlineStr">
        <is>
          <t>1998-02-20</t>
        </is>
      </c>
      <c r="V180" t="inlineStr">
        <is>
          <t>1998-02-20</t>
        </is>
      </c>
      <c r="W180" t="inlineStr">
        <is>
          <t>1997-09-08</t>
        </is>
      </c>
      <c r="X180" t="inlineStr">
        <is>
          <t>1997-09-08</t>
        </is>
      </c>
      <c r="Y180" t="n">
        <v>179</v>
      </c>
      <c r="Z180" t="n">
        <v>165</v>
      </c>
      <c r="AA180" t="n">
        <v>507</v>
      </c>
      <c r="AB180" t="n">
        <v>1</v>
      </c>
      <c r="AC180" t="n">
        <v>2</v>
      </c>
      <c r="AD180" t="n">
        <v>8</v>
      </c>
      <c r="AE180" t="n">
        <v>23</v>
      </c>
      <c r="AF180" t="n">
        <v>3</v>
      </c>
      <c r="AG180" t="n">
        <v>6</v>
      </c>
      <c r="AH180" t="n">
        <v>1</v>
      </c>
      <c r="AI180" t="n">
        <v>7</v>
      </c>
      <c r="AJ180" t="n">
        <v>6</v>
      </c>
      <c r="AK180" t="n">
        <v>14</v>
      </c>
      <c r="AL180" t="n">
        <v>0</v>
      </c>
      <c r="AM180" t="n">
        <v>1</v>
      </c>
      <c r="AN180" t="n">
        <v>0</v>
      </c>
      <c r="AO180" t="n">
        <v>0</v>
      </c>
      <c r="AP180" t="inlineStr">
        <is>
          <t>No</t>
        </is>
      </c>
      <c r="AQ180" t="inlineStr">
        <is>
          <t>Yes</t>
        </is>
      </c>
      <c r="AR180">
        <f>HYPERLINK("http://catalog.hathitrust.org/Record/007065501","HathiTrust Record")</f>
        <v/>
      </c>
      <c r="AS180">
        <f>HYPERLINK("https://creighton-primo.hosted.exlibrisgroup.com/primo-explore/search?tab=default_tab&amp;search_scope=EVERYTHING&amp;vid=01CRU&amp;lang=en_US&amp;offset=0&amp;query=any,contains,991000189249702656","Catalog Record")</f>
        <v/>
      </c>
      <c r="AT180">
        <f>HYPERLINK("http://www.worldcat.org/oclc/63432","WorldCat Record")</f>
        <v/>
      </c>
      <c r="AU180" t="inlineStr">
        <is>
          <t>2452493515:eng</t>
        </is>
      </c>
      <c r="AV180" t="inlineStr">
        <is>
          <t>63432</t>
        </is>
      </c>
      <c r="AW180" t="inlineStr">
        <is>
          <t>991000189249702656</t>
        </is>
      </c>
      <c r="AX180" t="inlineStr">
        <is>
          <t>991000189249702656</t>
        </is>
      </c>
      <c r="AY180" t="inlineStr">
        <is>
          <t>2255993830002656</t>
        </is>
      </c>
      <c r="AZ180" t="inlineStr">
        <is>
          <t>BOOK</t>
        </is>
      </c>
      <c r="BC180" t="inlineStr">
        <is>
          <t>32285003199063</t>
        </is>
      </c>
      <c r="BD180" t="inlineStr">
        <is>
          <t>893626238</t>
        </is>
      </c>
    </row>
    <row r="181">
      <c r="A181" t="inlineStr">
        <is>
          <t>No</t>
        </is>
      </c>
      <c r="B181" t="inlineStr">
        <is>
          <t>PG3340 .A1 1958</t>
        </is>
      </c>
      <c r="C181" t="inlineStr">
        <is>
          <t>0                      PG 3340000A  1           1958</t>
        </is>
      </c>
      <c r="D181" t="inlineStr">
        <is>
          <t>Sochinenii͡a : v trekh tomakh / A. S. Pushkin ; [vstupit. statʹi͡a, podgotovka teksta i primechanii͡a D. D. Blagogo]</t>
        </is>
      </c>
      <c r="E181" t="inlineStr">
        <is>
          <t>V.2</t>
        </is>
      </c>
      <c r="F181" t="inlineStr">
        <is>
          <t>Yes</t>
        </is>
      </c>
      <c r="G181" t="inlineStr">
        <is>
          <t>1</t>
        </is>
      </c>
      <c r="H181" t="inlineStr">
        <is>
          <t>No</t>
        </is>
      </c>
      <c r="I181" t="inlineStr">
        <is>
          <t>No</t>
        </is>
      </c>
      <c r="J181" t="inlineStr">
        <is>
          <t>0</t>
        </is>
      </c>
      <c r="K181" t="inlineStr">
        <is>
          <t>Pushkin, Aleksandr Sergeevich, 1799-1837.</t>
        </is>
      </c>
      <c r="L181" t="inlineStr">
        <is>
          <t>Moskva : Gos. izd.-vo khudozh. lit-ry, 1958.</t>
        </is>
      </c>
      <c r="M181" t="inlineStr">
        <is>
          <t>1958</t>
        </is>
      </c>
      <c r="O181" t="inlineStr">
        <is>
          <t>rus</t>
        </is>
      </c>
      <c r="P181" t="inlineStr">
        <is>
          <t xml:space="preserve">ru </t>
        </is>
      </c>
      <c r="R181" t="inlineStr">
        <is>
          <t xml:space="preserve">PG </t>
        </is>
      </c>
      <c r="S181" t="n">
        <v>3</v>
      </c>
      <c r="T181" t="n">
        <v>4</v>
      </c>
      <c r="U181" t="inlineStr">
        <is>
          <t>2001-10-27</t>
        </is>
      </c>
      <c r="V181" t="inlineStr">
        <is>
          <t>2009-02-26</t>
        </is>
      </c>
      <c r="W181" t="inlineStr">
        <is>
          <t>1995-05-17</t>
        </is>
      </c>
      <c r="X181" t="inlineStr">
        <is>
          <t>1995-05-17</t>
        </is>
      </c>
      <c r="Y181" t="n">
        <v>45</v>
      </c>
      <c r="Z181" t="n">
        <v>41</v>
      </c>
      <c r="AA181" t="n">
        <v>71</v>
      </c>
      <c r="AB181" t="n">
        <v>1</v>
      </c>
      <c r="AC181" t="n">
        <v>2</v>
      </c>
      <c r="AD181" t="n">
        <v>2</v>
      </c>
      <c r="AE181" t="n">
        <v>3</v>
      </c>
      <c r="AF181" t="n">
        <v>1</v>
      </c>
      <c r="AG181" t="n">
        <v>1</v>
      </c>
      <c r="AH181" t="n">
        <v>1</v>
      </c>
      <c r="AI181" t="n">
        <v>1</v>
      </c>
      <c r="AJ181" t="n">
        <v>1</v>
      </c>
      <c r="AK181" t="n">
        <v>1</v>
      </c>
      <c r="AL181" t="n">
        <v>0</v>
      </c>
      <c r="AM181" t="n">
        <v>1</v>
      </c>
      <c r="AN181" t="n">
        <v>0</v>
      </c>
      <c r="AO181" t="n">
        <v>0</v>
      </c>
      <c r="AP181" t="inlineStr">
        <is>
          <t>No</t>
        </is>
      </c>
      <c r="AQ181" t="inlineStr">
        <is>
          <t>Yes</t>
        </is>
      </c>
      <c r="AR181">
        <f>HYPERLINK("http://catalog.hathitrust.org/Record/001728944","HathiTrust Record")</f>
        <v/>
      </c>
      <c r="AS181">
        <f>HYPERLINK("https://creighton-primo.hosted.exlibrisgroup.com/primo-explore/search?tab=default_tab&amp;search_scope=EVERYTHING&amp;vid=01CRU&amp;lang=en_US&amp;offset=0&amp;query=any,contains,991004556289702656","Catalog Record")</f>
        <v/>
      </c>
      <c r="AT181">
        <f>HYPERLINK("http://www.worldcat.org/oclc/3966996","WorldCat Record")</f>
        <v/>
      </c>
      <c r="AU181" t="inlineStr">
        <is>
          <t>2564805893:rus</t>
        </is>
      </c>
      <c r="AV181" t="inlineStr">
        <is>
          <t>3966996</t>
        </is>
      </c>
      <c r="AW181" t="inlineStr">
        <is>
          <t>991004556289702656</t>
        </is>
      </c>
      <c r="AX181" t="inlineStr">
        <is>
          <t>991004556289702656</t>
        </is>
      </c>
      <c r="AY181" t="inlineStr">
        <is>
          <t>2263645720002656</t>
        </is>
      </c>
      <c r="AZ181" t="inlineStr">
        <is>
          <t>BOOK</t>
        </is>
      </c>
      <c r="BC181" t="inlineStr">
        <is>
          <t>32285002034584</t>
        </is>
      </c>
      <c r="BD181" t="inlineStr">
        <is>
          <t>893259853</t>
        </is>
      </c>
    </row>
    <row r="182">
      <c r="A182" t="inlineStr">
        <is>
          <t>No</t>
        </is>
      </c>
      <c r="B182" t="inlineStr">
        <is>
          <t>PG3340 .A1 1958</t>
        </is>
      </c>
      <c r="C182" t="inlineStr">
        <is>
          <t>0                      PG 3340000A  1           1958</t>
        </is>
      </c>
      <c r="D182" t="inlineStr">
        <is>
          <t>Sochinenii͡a : v trekh tomakh / A. S. Pushkin ; [vstupit. statʹi͡a, podgotovka teksta i primechanii͡a D. D. Blagogo]</t>
        </is>
      </c>
      <c r="E182" t="inlineStr">
        <is>
          <t>V.1</t>
        </is>
      </c>
      <c r="F182" t="inlineStr">
        <is>
          <t>Yes</t>
        </is>
      </c>
      <c r="G182" t="inlineStr">
        <is>
          <t>1</t>
        </is>
      </c>
      <c r="H182" t="inlineStr">
        <is>
          <t>No</t>
        </is>
      </c>
      <c r="I182" t="inlineStr">
        <is>
          <t>No</t>
        </is>
      </c>
      <c r="J182" t="inlineStr">
        <is>
          <t>0</t>
        </is>
      </c>
      <c r="K182" t="inlineStr">
        <is>
          <t>Pushkin, Aleksandr Sergeevich, 1799-1837.</t>
        </is>
      </c>
      <c r="L182" t="inlineStr">
        <is>
          <t>Moskva : Gos. izd.-vo khudozh. lit-ry, 1958.</t>
        </is>
      </c>
      <c r="M182" t="inlineStr">
        <is>
          <t>1958</t>
        </is>
      </c>
      <c r="O182" t="inlineStr">
        <is>
          <t>rus</t>
        </is>
      </c>
      <c r="P182" t="inlineStr">
        <is>
          <t xml:space="preserve">ru </t>
        </is>
      </c>
      <c r="R182" t="inlineStr">
        <is>
          <t xml:space="preserve">PG </t>
        </is>
      </c>
      <c r="S182" t="n">
        <v>1</v>
      </c>
      <c r="T182" t="n">
        <v>4</v>
      </c>
      <c r="U182" t="inlineStr">
        <is>
          <t>2009-02-26</t>
        </is>
      </c>
      <c r="V182" t="inlineStr">
        <is>
          <t>2009-02-26</t>
        </is>
      </c>
      <c r="W182" t="inlineStr">
        <is>
          <t>1995-05-17</t>
        </is>
      </c>
      <c r="X182" t="inlineStr">
        <is>
          <t>1995-05-17</t>
        </is>
      </c>
      <c r="Y182" t="n">
        <v>45</v>
      </c>
      <c r="Z182" t="n">
        <v>41</v>
      </c>
      <c r="AA182" t="n">
        <v>71</v>
      </c>
      <c r="AB182" t="n">
        <v>1</v>
      </c>
      <c r="AC182" t="n">
        <v>2</v>
      </c>
      <c r="AD182" t="n">
        <v>2</v>
      </c>
      <c r="AE182" t="n">
        <v>3</v>
      </c>
      <c r="AF182" t="n">
        <v>1</v>
      </c>
      <c r="AG182" t="n">
        <v>1</v>
      </c>
      <c r="AH182" t="n">
        <v>1</v>
      </c>
      <c r="AI182" t="n">
        <v>1</v>
      </c>
      <c r="AJ182" t="n">
        <v>1</v>
      </c>
      <c r="AK182" t="n">
        <v>1</v>
      </c>
      <c r="AL182" t="n">
        <v>0</v>
      </c>
      <c r="AM182" t="n">
        <v>1</v>
      </c>
      <c r="AN182" t="n">
        <v>0</v>
      </c>
      <c r="AO182" t="n">
        <v>0</v>
      </c>
      <c r="AP182" t="inlineStr">
        <is>
          <t>No</t>
        </is>
      </c>
      <c r="AQ182" t="inlineStr">
        <is>
          <t>Yes</t>
        </is>
      </c>
      <c r="AR182">
        <f>HYPERLINK("http://catalog.hathitrust.org/Record/001728944","HathiTrust Record")</f>
        <v/>
      </c>
      <c r="AS182">
        <f>HYPERLINK("https://creighton-primo.hosted.exlibrisgroup.com/primo-explore/search?tab=default_tab&amp;search_scope=EVERYTHING&amp;vid=01CRU&amp;lang=en_US&amp;offset=0&amp;query=any,contains,991004556289702656","Catalog Record")</f>
        <v/>
      </c>
      <c r="AT182">
        <f>HYPERLINK("http://www.worldcat.org/oclc/3966996","WorldCat Record")</f>
        <v/>
      </c>
      <c r="AU182" t="inlineStr">
        <is>
          <t>2564805893:rus</t>
        </is>
      </c>
      <c r="AV182" t="inlineStr">
        <is>
          <t>3966996</t>
        </is>
      </c>
      <c r="AW182" t="inlineStr">
        <is>
          <t>991004556289702656</t>
        </is>
      </c>
      <c r="AX182" t="inlineStr">
        <is>
          <t>991004556289702656</t>
        </is>
      </c>
      <c r="AY182" t="inlineStr">
        <is>
          <t>2263645720002656</t>
        </is>
      </c>
      <c r="AZ182" t="inlineStr">
        <is>
          <t>BOOK</t>
        </is>
      </c>
      <c r="BC182" t="inlineStr">
        <is>
          <t>32285002034576</t>
        </is>
      </c>
      <c r="BD182" t="inlineStr">
        <is>
          <t>893263322</t>
        </is>
      </c>
    </row>
    <row r="183">
      <c r="A183" t="inlineStr">
        <is>
          <t>No</t>
        </is>
      </c>
      <c r="B183" t="inlineStr">
        <is>
          <t>PG3341 .A7 1972</t>
        </is>
      </c>
      <c r="C183" t="inlineStr">
        <is>
          <t>0                      PG 3341000A  7           1972</t>
        </is>
      </c>
      <c r="D183" t="inlineStr">
        <is>
          <t>Pushkin threefold; narrative, lyric, polemic, and ribald verse. The originals with linear and metric translations by Walter Arndt.</t>
        </is>
      </c>
      <c r="F183" t="inlineStr">
        <is>
          <t>No</t>
        </is>
      </c>
      <c r="G183" t="inlineStr">
        <is>
          <t>1</t>
        </is>
      </c>
      <c r="H183" t="inlineStr">
        <is>
          <t>No</t>
        </is>
      </c>
      <c r="I183" t="inlineStr">
        <is>
          <t>No</t>
        </is>
      </c>
      <c r="J183" t="inlineStr">
        <is>
          <t>0</t>
        </is>
      </c>
      <c r="K183" t="inlineStr">
        <is>
          <t>Pushkin, Aleksandr Sergeevich, 1799-1837.</t>
        </is>
      </c>
      <c r="L183" t="inlineStr">
        <is>
          <t>New York, Dutton, 1972.</t>
        </is>
      </c>
      <c r="M183" t="inlineStr">
        <is>
          <t>1972</t>
        </is>
      </c>
      <c r="N183" t="inlineStr">
        <is>
          <t>[1st ed.]</t>
        </is>
      </c>
      <c r="O183" t="inlineStr">
        <is>
          <t>eng</t>
        </is>
      </c>
      <c r="P183" t="inlineStr">
        <is>
          <t>nyu</t>
        </is>
      </c>
      <c r="R183" t="inlineStr">
        <is>
          <t xml:space="preserve">PG </t>
        </is>
      </c>
      <c r="S183" t="n">
        <v>6</v>
      </c>
      <c r="T183" t="n">
        <v>6</v>
      </c>
      <c r="U183" t="inlineStr">
        <is>
          <t>1998-09-28</t>
        </is>
      </c>
      <c r="V183" t="inlineStr">
        <is>
          <t>1998-09-28</t>
        </is>
      </c>
      <c r="W183" t="inlineStr">
        <is>
          <t>1997-09-08</t>
        </is>
      </c>
      <c r="X183" t="inlineStr">
        <is>
          <t>1997-09-08</t>
        </is>
      </c>
      <c r="Y183" t="n">
        <v>751</v>
      </c>
      <c r="Z183" t="n">
        <v>683</v>
      </c>
      <c r="AA183" t="n">
        <v>725</v>
      </c>
      <c r="AB183" t="n">
        <v>7</v>
      </c>
      <c r="AC183" t="n">
        <v>7</v>
      </c>
      <c r="AD183" t="n">
        <v>31</v>
      </c>
      <c r="AE183" t="n">
        <v>34</v>
      </c>
      <c r="AF183" t="n">
        <v>11</v>
      </c>
      <c r="AG183" t="n">
        <v>13</v>
      </c>
      <c r="AH183" t="n">
        <v>9</v>
      </c>
      <c r="AI183" t="n">
        <v>9</v>
      </c>
      <c r="AJ183" t="n">
        <v>13</v>
      </c>
      <c r="AK183" t="n">
        <v>15</v>
      </c>
      <c r="AL183" t="n">
        <v>6</v>
      </c>
      <c r="AM183" t="n">
        <v>6</v>
      </c>
      <c r="AN183" t="n">
        <v>0</v>
      </c>
      <c r="AO183" t="n">
        <v>0</v>
      </c>
      <c r="AP183" t="inlineStr">
        <is>
          <t>No</t>
        </is>
      </c>
      <c r="AQ183" t="inlineStr">
        <is>
          <t>Yes</t>
        </is>
      </c>
      <c r="AR183">
        <f>HYPERLINK("http://catalog.hathitrust.org/Record/001110404","HathiTrust Record")</f>
        <v/>
      </c>
      <c r="AS183">
        <f>HYPERLINK("https://creighton-primo.hosted.exlibrisgroup.com/primo-explore/search?tab=default_tab&amp;search_scope=EVERYTHING&amp;vid=01CRU&amp;lang=en_US&amp;offset=0&amp;query=any,contains,991002393469702656","Catalog Record")</f>
        <v/>
      </c>
      <c r="AT183">
        <f>HYPERLINK("http://www.worldcat.org/oclc/333396","WorldCat Record")</f>
        <v/>
      </c>
      <c r="AU183" t="inlineStr">
        <is>
          <t>229061005:eng</t>
        </is>
      </c>
      <c r="AV183" t="inlineStr">
        <is>
          <t>333396</t>
        </is>
      </c>
      <c r="AW183" t="inlineStr">
        <is>
          <t>991002393469702656</t>
        </is>
      </c>
      <c r="AX183" t="inlineStr">
        <is>
          <t>991002393469702656</t>
        </is>
      </c>
      <c r="AY183" t="inlineStr">
        <is>
          <t>2257996960002656</t>
        </is>
      </c>
      <c r="AZ183" t="inlineStr">
        <is>
          <t>BOOK</t>
        </is>
      </c>
      <c r="BB183" t="inlineStr">
        <is>
          <t>9780525186526</t>
        </is>
      </c>
      <c r="BC183" t="inlineStr">
        <is>
          <t>32285003199089</t>
        </is>
      </c>
      <c r="BD183" t="inlineStr">
        <is>
          <t>893409052</t>
        </is>
      </c>
    </row>
    <row r="184">
      <c r="A184" t="inlineStr">
        <is>
          <t>No</t>
        </is>
      </c>
      <c r="B184" t="inlineStr">
        <is>
          <t>PG3343.M43 L4 1978</t>
        </is>
      </c>
      <c r="C184" t="inlineStr">
        <is>
          <t>0                      PG 3343000M  43                 L  4           1978</t>
        </is>
      </c>
      <c r="D184" t="inlineStr">
        <is>
          <t>Pushkin's Bronze horseman : the story of a masterpiece / by Wacław Lednicki ; with an appendix, including, in English, Mickiewicz's "Digression", Pushkin's "Bronze horseman", and other poems.</t>
        </is>
      </c>
      <c r="F184" t="inlineStr">
        <is>
          <t>No</t>
        </is>
      </c>
      <c r="G184" t="inlineStr">
        <is>
          <t>1</t>
        </is>
      </c>
      <c r="H184" t="inlineStr">
        <is>
          <t>No</t>
        </is>
      </c>
      <c r="I184" t="inlineStr">
        <is>
          <t>No</t>
        </is>
      </c>
      <c r="J184" t="inlineStr">
        <is>
          <t>0</t>
        </is>
      </c>
      <c r="K184" t="inlineStr">
        <is>
          <t>Lednicki, Wacław, 1891-1967.</t>
        </is>
      </c>
      <c r="L184" t="inlineStr">
        <is>
          <t>Westport, Conn. : Greenwood Press, 1978.</t>
        </is>
      </c>
      <c r="M184" t="inlineStr">
        <is>
          <t>1978</t>
        </is>
      </c>
      <c r="O184" t="inlineStr">
        <is>
          <t>eng</t>
        </is>
      </c>
      <c r="P184" t="inlineStr">
        <is>
          <t>ctu</t>
        </is>
      </c>
      <c r="R184" t="inlineStr">
        <is>
          <t xml:space="preserve">PG </t>
        </is>
      </c>
      <c r="S184" t="n">
        <v>8</v>
      </c>
      <c r="T184" t="n">
        <v>8</v>
      </c>
      <c r="U184" t="inlineStr">
        <is>
          <t>2002-02-15</t>
        </is>
      </c>
      <c r="V184" t="inlineStr">
        <is>
          <t>2002-02-15</t>
        </is>
      </c>
      <c r="W184" t="inlineStr">
        <is>
          <t>1991-12-09</t>
        </is>
      </c>
      <c r="X184" t="inlineStr">
        <is>
          <t>1991-12-09</t>
        </is>
      </c>
      <c r="Y184" t="n">
        <v>145</v>
      </c>
      <c r="Z184" t="n">
        <v>124</v>
      </c>
      <c r="AA184" t="n">
        <v>128</v>
      </c>
      <c r="AB184" t="n">
        <v>1</v>
      </c>
      <c r="AC184" t="n">
        <v>1</v>
      </c>
      <c r="AD184" t="n">
        <v>5</v>
      </c>
      <c r="AE184" t="n">
        <v>5</v>
      </c>
      <c r="AF184" t="n">
        <v>1</v>
      </c>
      <c r="AG184" t="n">
        <v>1</v>
      </c>
      <c r="AH184" t="n">
        <v>3</v>
      </c>
      <c r="AI184" t="n">
        <v>3</v>
      </c>
      <c r="AJ184" t="n">
        <v>4</v>
      </c>
      <c r="AK184" t="n">
        <v>4</v>
      </c>
      <c r="AL184" t="n">
        <v>0</v>
      </c>
      <c r="AM184" t="n">
        <v>0</v>
      </c>
      <c r="AN184" t="n">
        <v>0</v>
      </c>
      <c r="AO184" t="n">
        <v>0</v>
      </c>
      <c r="AP184" t="inlineStr">
        <is>
          <t>No</t>
        </is>
      </c>
      <c r="AQ184" t="inlineStr">
        <is>
          <t>No</t>
        </is>
      </c>
      <c r="AS184">
        <f>HYPERLINK("https://creighton-primo.hosted.exlibrisgroup.com/primo-explore/search?tab=default_tab&amp;search_scope=EVERYTHING&amp;vid=01CRU&amp;lang=en_US&amp;offset=0&amp;query=any,contains,991004529409702656","Catalog Record")</f>
        <v/>
      </c>
      <c r="AT184">
        <f>HYPERLINK("http://www.worldcat.org/oclc/3844668","WorldCat Record")</f>
        <v/>
      </c>
      <c r="AU184" t="inlineStr">
        <is>
          <t>5090395432:eng</t>
        </is>
      </c>
      <c r="AV184" t="inlineStr">
        <is>
          <t>3844668</t>
        </is>
      </c>
      <c r="AW184" t="inlineStr">
        <is>
          <t>991004529409702656</t>
        </is>
      </c>
      <c r="AX184" t="inlineStr">
        <is>
          <t>991004529409702656</t>
        </is>
      </c>
      <c r="AY184" t="inlineStr">
        <is>
          <t>2264899480002656</t>
        </is>
      </c>
      <c r="AZ184" t="inlineStr">
        <is>
          <t>BOOK</t>
        </is>
      </c>
      <c r="BB184" t="inlineStr">
        <is>
          <t>9780313204821</t>
        </is>
      </c>
      <c r="BC184" t="inlineStr">
        <is>
          <t>32285000885615</t>
        </is>
      </c>
      <c r="BD184" t="inlineStr">
        <is>
          <t>893788809</t>
        </is>
      </c>
    </row>
    <row r="185">
      <c r="A185" t="inlineStr">
        <is>
          <t>No</t>
        </is>
      </c>
      <c r="B185" t="inlineStr">
        <is>
          <t>PG3347 .A15 1983</t>
        </is>
      </c>
      <c r="C185" t="inlineStr">
        <is>
          <t>0                      PG 3347000A  15          1983</t>
        </is>
      </c>
      <c r="D185" t="inlineStr">
        <is>
          <t>Alexander Pushkin, complete prose fiction / translated, with an introduction and notes, by Paul Debreczeny ; verse passages translated by Walter Arndt.</t>
        </is>
      </c>
      <c r="F185" t="inlineStr">
        <is>
          <t>No</t>
        </is>
      </c>
      <c r="G185" t="inlineStr">
        <is>
          <t>1</t>
        </is>
      </c>
      <c r="H185" t="inlineStr">
        <is>
          <t>No</t>
        </is>
      </c>
      <c r="I185" t="inlineStr">
        <is>
          <t>No</t>
        </is>
      </c>
      <c r="J185" t="inlineStr">
        <is>
          <t>0</t>
        </is>
      </c>
      <c r="K185" t="inlineStr">
        <is>
          <t>Pushkin, Aleksandr Sergeevich, 1799-1837.</t>
        </is>
      </c>
      <c r="L185" t="inlineStr">
        <is>
          <t>Stanford, Calif. : Stanford University Press, 1983.</t>
        </is>
      </c>
      <c r="M185" t="inlineStr">
        <is>
          <t>1983</t>
        </is>
      </c>
      <c r="O185" t="inlineStr">
        <is>
          <t>eng</t>
        </is>
      </c>
      <c r="P185" t="inlineStr">
        <is>
          <t>cau</t>
        </is>
      </c>
      <c r="R185" t="inlineStr">
        <is>
          <t xml:space="preserve">PG </t>
        </is>
      </c>
      <c r="S185" t="n">
        <v>18</v>
      </c>
      <c r="T185" t="n">
        <v>18</v>
      </c>
      <c r="U185" t="inlineStr">
        <is>
          <t>2004-12-02</t>
        </is>
      </c>
      <c r="V185" t="inlineStr">
        <is>
          <t>2004-12-02</t>
        </is>
      </c>
      <c r="W185" t="inlineStr">
        <is>
          <t>1991-12-09</t>
        </is>
      </c>
      <c r="X185" t="inlineStr">
        <is>
          <t>1991-12-09</t>
        </is>
      </c>
      <c r="Y185" t="n">
        <v>736</v>
      </c>
      <c r="Z185" t="n">
        <v>653</v>
      </c>
      <c r="AA185" t="n">
        <v>653</v>
      </c>
      <c r="AB185" t="n">
        <v>7</v>
      </c>
      <c r="AC185" t="n">
        <v>7</v>
      </c>
      <c r="AD185" t="n">
        <v>23</v>
      </c>
      <c r="AE185" t="n">
        <v>23</v>
      </c>
      <c r="AF185" t="n">
        <v>7</v>
      </c>
      <c r="AG185" t="n">
        <v>7</v>
      </c>
      <c r="AH185" t="n">
        <v>7</v>
      </c>
      <c r="AI185" t="n">
        <v>7</v>
      </c>
      <c r="AJ185" t="n">
        <v>11</v>
      </c>
      <c r="AK185" t="n">
        <v>11</v>
      </c>
      <c r="AL185" t="n">
        <v>4</v>
      </c>
      <c r="AM185" t="n">
        <v>4</v>
      </c>
      <c r="AN185" t="n">
        <v>0</v>
      </c>
      <c r="AO185" t="n">
        <v>0</v>
      </c>
      <c r="AP185" t="inlineStr">
        <is>
          <t>No</t>
        </is>
      </c>
      <c r="AQ185" t="inlineStr">
        <is>
          <t>No</t>
        </is>
      </c>
      <c r="AS185">
        <f>HYPERLINK("https://creighton-primo.hosted.exlibrisgroup.com/primo-explore/search?tab=default_tab&amp;search_scope=EVERYTHING&amp;vid=01CRU&amp;lang=en_US&amp;offset=0&amp;query=any,contains,991000229279702656","Catalog Record")</f>
        <v/>
      </c>
      <c r="AT185">
        <f>HYPERLINK("http://www.worldcat.org/oclc/9623332","WorldCat Record")</f>
        <v/>
      </c>
      <c r="AU185" t="inlineStr">
        <is>
          <t>8914145467:eng</t>
        </is>
      </c>
      <c r="AV185" t="inlineStr">
        <is>
          <t>9623332</t>
        </is>
      </c>
      <c r="AW185" t="inlineStr">
        <is>
          <t>991000229279702656</t>
        </is>
      </c>
      <c r="AX185" t="inlineStr">
        <is>
          <t>991000229279702656</t>
        </is>
      </c>
      <c r="AY185" t="inlineStr">
        <is>
          <t>2269252770002656</t>
        </is>
      </c>
      <c r="AZ185" t="inlineStr">
        <is>
          <t>BOOK</t>
        </is>
      </c>
      <c r="BB185" t="inlineStr">
        <is>
          <t>9780804711425</t>
        </is>
      </c>
      <c r="BC185" t="inlineStr">
        <is>
          <t>32285000829571</t>
        </is>
      </c>
      <c r="BD185" t="inlineStr">
        <is>
          <t>893626253</t>
        </is>
      </c>
    </row>
    <row r="186">
      <c r="A186" t="inlineStr">
        <is>
          <t>No</t>
        </is>
      </c>
      <c r="B186" t="inlineStr">
        <is>
          <t>PG3347.A2 W6</t>
        </is>
      </c>
      <c r="C186" t="inlineStr">
        <is>
          <t>0                      PG 3347000A  2                  W  6</t>
        </is>
      </c>
      <c r="D186" t="inlineStr">
        <is>
          <t>Pushkin on literature; selected, translated and edited by Tatiana Wolff.</t>
        </is>
      </c>
      <c r="F186" t="inlineStr">
        <is>
          <t>No</t>
        </is>
      </c>
      <c r="G186" t="inlineStr">
        <is>
          <t>1</t>
        </is>
      </c>
      <c r="H186" t="inlineStr">
        <is>
          <t>No</t>
        </is>
      </c>
      <c r="I186" t="inlineStr">
        <is>
          <t>No</t>
        </is>
      </c>
      <c r="J186" t="inlineStr">
        <is>
          <t>0</t>
        </is>
      </c>
      <c r="K186" t="inlineStr">
        <is>
          <t>Pushkin, Aleksandr Sergeevich, 1799-1837.</t>
        </is>
      </c>
      <c r="L186" t="inlineStr">
        <is>
          <t>London, Methuen [1971]</t>
        </is>
      </c>
      <c r="M186" t="inlineStr">
        <is>
          <t>1971</t>
        </is>
      </c>
      <c r="O186" t="inlineStr">
        <is>
          <t>eng</t>
        </is>
      </c>
      <c r="P186" t="inlineStr">
        <is>
          <t>enk</t>
        </is>
      </c>
      <c r="R186" t="inlineStr">
        <is>
          <t xml:space="preserve">PG </t>
        </is>
      </c>
      <c r="S186" t="n">
        <v>2</v>
      </c>
      <c r="T186" t="n">
        <v>2</v>
      </c>
      <c r="U186" t="inlineStr">
        <is>
          <t>1997-09-24</t>
        </is>
      </c>
      <c r="V186" t="inlineStr">
        <is>
          <t>1997-09-24</t>
        </is>
      </c>
      <c r="W186" t="inlineStr">
        <is>
          <t>1997-09-08</t>
        </is>
      </c>
      <c r="X186" t="inlineStr">
        <is>
          <t>1997-09-08</t>
        </is>
      </c>
      <c r="Y186" t="n">
        <v>515</v>
      </c>
      <c r="Z186" t="n">
        <v>396</v>
      </c>
      <c r="AA186" t="n">
        <v>492</v>
      </c>
      <c r="AB186" t="n">
        <v>4</v>
      </c>
      <c r="AC186" t="n">
        <v>4</v>
      </c>
      <c r="AD186" t="n">
        <v>21</v>
      </c>
      <c r="AE186" t="n">
        <v>25</v>
      </c>
      <c r="AF186" t="n">
        <v>7</v>
      </c>
      <c r="AG186" t="n">
        <v>7</v>
      </c>
      <c r="AH186" t="n">
        <v>5</v>
      </c>
      <c r="AI186" t="n">
        <v>7</v>
      </c>
      <c r="AJ186" t="n">
        <v>10</v>
      </c>
      <c r="AK186" t="n">
        <v>13</v>
      </c>
      <c r="AL186" t="n">
        <v>3</v>
      </c>
      <c r="AM186" t="n">
        <v>3</v>
      </c>
      <c r="AN186" t="n">
        <v>0</v>
      </c>
      <c r="AO186" t="n">
        <v>0</v>
      </c>
      <c r="AP186" t="inlineStr">
        <is>
          <t>No</t>
        </is>
      </c>
      <c r="AQ186" t="inlineStr">
        <is>
          <t>Yes</t>
        </is>
      </c>
      <c r="AR186">
        <f>HYPERLINK("http://catalog.hathitrust.org/Record/001060377","HathiTrust Record")</f>
        <v/>
      </c>
      <c r="AS186">
        <f>HYPERLINK("https://creighton-primo.hosted.exlibrisgroup.com/primo-explore/search?tab=default_tab&amp;search_scope=EVERYTHING&amp;vid=01CRU&amp;lang=en_US&amp;offset=0&amp;query=any,contains,991000926499702656","Catalog Record")</f>
        <v/>
      </c>
      <c r="AT186">
        <f>HYPERLINK("http://www.worldcat.org/oclc/163544","WorldCat Record")</f>
        <v/>
      </c>
      <c r="AU186" t="inlineStr">
        <is>
          <t>4926794749:eng</t>
        </is>
      </c>
      <c r="AV186" t="inlineStr">
        <is>
          <t>163544</t>
        </is>
      </c>
      <c r="AW186" t="inlineStr">
        <is>
          <t>991000926499702656</t>
        </is>
      </c>
      <c r="AX186" t="inlineStr">
        <is>
          <t>991000926499702656</t>
        </is>
      </c>
      <c r="AY186" t="inlineStr">
        <is>
          <t>2272156600002656</t>
        </is>
      </c>
      <c r="AZ186" t="inlineStr">
        <is>
          <t>BOOK</t>
        </is>
      </c>
      <c r="BB186" t="inlineStr">
        <is>
          <t>9780416654608</t>
        </is>
      </c>
      <c r="BC186" t="inlineStr">
        <is>
          <t>32285003199097</t>
        </is>
      </c>
      <c r="BD186" t="inlineStr">
        <is>
          <t>893897347</t>
        </is>
      </c>
    </row>
    <row r="187">
      <c r="A187" t="inlineStr">
        <is>
          <t>No</t>
        </is>
      </c>
      <c r="B187" t="inlineStr">
        <is>
          <t>PG3347.B6 B3 1953b</t>
        </is>
      </c>
      <c r="C187" t="inlineStr">
        <is>
          <t>0                      PG 3347000B  6                  B  3           1953b</t>
        </is>
      </c>
      <c r="D187" t="inlineStr">
        <is>
          <t>Boris Godunov / Alexander Pushkin ; Russian text with translation and notes by Philip L. Barbour.</t>
        </is>
      </c>
      <c r="F187" t="inlineStr">
        <is>
          <t>No</t>
        </is>
      </c>
      <c r="G187" t="inlineStr">
        <is>
          <t>1</t>
        </is>
      </c>
      <c r="H187" t="inlineStr">
        <is>
          <t>No</t>
        </is>
      </c>
      <c r="I187" t="inlineStr">
        <is>
          <t>No</t>
        </is>
      </c>
      <c r="J187" t="inlineStr">
        <is>
          <t>0</t>
        </is>
      </c>
      <c r="K187" t="inlineStr">
        <is>
          <t>Pushkin, Aleksandr Sergeevich, 1799-1837.</t>
        </is>
      </c>
      <c r="L187" t="inlineStr">
        <is>
          <t>Westport, Conn. : Greenwood Press, 1976.</t>
        </is>
      </c>
      <c r="M187" t="inlineStr">
        <is>
          <t>1976</t>
        </is>
      </c>
      <c r="O187" t="inlineStr">
        <is>
          <t>eng</t>
        </is>
      </c>
      <c r="P187" t="inlineStr">
        <is>
          <t>ctu</t>
        </is>
      </c>
      <c r="R187" t="inlineStr">
        <is>
          <t xml:space="preserve">PG </t>
        </is>
      </c>
      <c r="S187" t="n">
        <v>8</v>
      </c>
      <c r="T187" t="n">
        <v>8</v>
      </c>
      <c r="U187" t="inlineStr">
        <is>
          <t>2003-12-04</t>
        </is>
      </c>
      <c r="V187" t="inlineStr">
        <is>
          <t>2003-12-04</t>
        </is>
      </c>
      <c r="W187" t="inlineStr">
        <is>
          <t>1993-04-28</t>
        </is>
      </c>
      <c r="X187" t="inlineStr">
        <is>
          <t>1993-04-28</t>
        </is>
      </c>
      <c r="Y187" t="n">
        <v>188</v>
      </c>
      <c r="Z187" t="n">
        <v>160</v>
      </c>
      <c r="AA187" t="n">
        <v>440</v>
      </c>
      <c r="AB187" t="n">
        <v>1</v>
      </c>
      <c r="AC187" t="n">
        <v>4</v>
      </c>
      <c r="AD187" t="n">
        <v>5</v>
      </c>
      <c r="AE187" t="n">
        <v>14</v>
      </c>
      <c r="AF187" t="n">
        <v>1</v>
      </c>
      <c r="AG187" t="n">
        <v>5</v>
      </c>
      <c r="AH187" t="n">
        <v>3</v>
      </c>
      <c r="AI187" t="n">
        <v>4</v>
      </c>
      <c r="AJ187" t="n">
        <v>3</v>
      </c>
      <c r="AK187" t="n">
        <v>9</v>
      </c>
      <c r="AL187" t="n">
        <v>0</v>
      </c>
      <c r="AM187" t="n">
        <v>2</v>
      </c>
      <c r="AN187" t="n">
        <v>0</v>
      </c>
      <c r="AO187" t="n">
        <v>0</v>
      </c>
      <c r="AP187" t="inlineStr">
        <is>
          <t>No</t>
        </is>
      </c>
      <c r="AQ187" t="inlineStr">
        <is>
          <t>No</t>
        </is>
      </c>
      <c r="AS187">
        <f>HYPERLINK("https://creighton-primo.hosted.exlibrisgroup.com/primo-explore/search?tab=default_tab&amp;search_scope=EVERYTHING&amp;vid=01CRU&amp;lang=en_US&amp;offset=0&amp;query=any,contains,991004205629702656","Catalog Record")</f>
        <v/>
      </c>
      <c r="AT187">
        <f>HYPERLINK("http://www.worldcat.org/oclc/2665002","WorldCat Record")</f>
        <v/>
      </c>
      <c r="AU187" t="inlineStr">
        <is>
          <t>4927578532:eng</t>
        </is>
      </c>
      <c r="AV187" t="inlineStr">
        <is>
          <t>2665002</t>
        </is>
      </c>
      <c r="AW187" t="inlineStr">
        <is>
          <t>991004205629702656</t>
        </is>
      </c>
      <c r="AX187" t="inlineStr">
        <is>
          <t>991004205629702656</t>
        </is>
      </c>
      <c r="AY187" t="inlineStr">
        <is>
          <t>2260155080002656</t>
        </is>
      </c>
      <c r="AZ187" t="inlineStr">
        <is>
          <t>BOOK</t>
        </is>
      </c>
      <c r="BB187" t="inlineStr">
        <is>
          <t>9780837185224</t>
        </is>
      </c>
      <c r="BC187" t="inlineStr">
        <is>
          <t>32285001649192</t>
        </is>
      </c>
      <c r="BD187" t="inlineStr">
        <is>
          <t>893781967</t>
        </is>
      </c>
    </row>
    <row r="188">
      <c r="A188" t="inlineStr">
        <is>
          <t>No</t>
        </is>
      </c>
      <c r="B188" t="inlineStr">
        <is>
          <t>PG3347.Z5 S5 1967</t>
        </is>
      </c>
      <c r="C188" t="inlineStr">
        <is>
          <t>0                      PG 3347000Z  5                  S  5           1967</t>
        </is>
      </c>
      <c r="D188" t="inlineStr">
        <is>
          <t>The letters of Alexander Pushkin. Translated, with pref., introd., and notes by J. Thomas Shaw.</t>
        </is>
      </c>
      <c r="F188" t="inlineStr">
        <is>
          <t>No</t>
        </is>
      </c>
      <c r="G188" t="inlineStr">
        <is>
          <t>1</t>
        </is>
      </c>
      <c r="H188" t="inlineStr">
        <is>
          <t>No</t>
        </is>
      </c>
      <c r="I188" t="inlineStr">
        <is>
          <t>No</t>
        </is>
      </c>
      <c r="J188" t="inlineStr">
        <is>
          <t>0</t>
        </is>
      </c>
      <c r="K188" t="inlineStr">
        <is>
          <t>Pushkin, Aleksandr Sergeevich, 1799-1837.</t>
        </is>
      </c>
      <c r="L188" t="inlineStr">
        <is>
          <t>Madison, University of Wisconsin Press, 1967.</t>
        </is>
      </c>
      <c r="M188" t="inlineStr">
        <is>
          <t>1967</t>
        </is>
      </c>
      <c r="O188" t="inlineStr">
        <is>
          <t>eng</t>
        </is>
      </c>
      <c r="P188" t="inlineStr">
        <is>
          <t>wiu</t>
        </is>
      </c>
      <c r="R188" t="inlineStr">
        <is>
          <t xml:space="preserve">PG </t>
        </is>
      </c>
      <c r="S188" t="n">
        <v>3</v>
      </c>
      <c r="T188" t="n">
        <v>3</v>
      </c>
      <c r="U188" t="inlineStr">
        <is>
          <t>1997-09-26</t>
        </is>
      </c>
      <c r="V188" t="inlineStr">
        <is>
          <t>1997-09-26</t>
        </is>
      </c>
      <c r="W188" t="inlineStr">
        <is>
          <t>1997-09-08</t>
        </is>
      </c>
      <c r="X188" t="inlineStr">
        <is>
          <t>1997-09-08</t>
        </is>
      </c>
      <c r="Y188" t="n">
        <v>633</v>
      </c>
      <c r="Z188" t="n">
        <v>596</v>
      </c>
      <c r="AA188" t="n">
        <v>686</v>
      </c>
      <c r="AB188" t="n">
        <v>6</v>
      </c>
      <c r="AC188" t="n">
        <v>6</v>
      </c>
      <c r="AD188" t="n">
        <v>31</v>
      </c>
      <c r="AE188" t="n">
        <v>36</v>
      </c>
      <c r="AF188" t="n">
        <v>14</v>
      </c>
      <c r="AG188" t="n">
        <v>16</v>
      </c>
      <c r="AH188" t="n">
        <v>6</v>
      </c>
      <c r="AI188" t="n">
        <v>6</v>
      </c>
      <c r="AJ188" t="n">
        <v>14</v>
      </c>
      <c r="AK188" t="n">
        <v>17</v>
      </c>
      <c r="AL188" t="n">
        <v>5</v>
      </c>
      <c r="AM188" t="n">
        <v>5</v>
      </c>
      <c r="AN188" t="n">
        <v>0</v>
      </c>
      <c r="AO188" t="n">
        <v>0</v>
      </c>
      <c r="AP188" t="inlineStr">
        <is>
          <t>No</t>
        </is>
      </c>
      <c r="AQ188" t="inlineStr">
        <is>
          <t>Yes</t>
        </is>
      </c>
      <c r="AR188">
        <f>HYPERLINK("http://catalog.hathitrust.org/Record/006224171","HathiTrust Record")</f>
        <v/>
      </c>
      <c r="AS188">
        <f>HYPERLINK("https://creighton-primo.hosted.exlibrisgroup.com/primo-explore/search?tab=default_tab&amp;search_scope=EVERYTHING&amp;vid=01CRU&amp;lang=en_US&amp;offset=0&amp;query=any,contains,991003062699702656","Catalog Record")</f>
        <v/>
      </c>
      <c r="AT188">
        <f>HYPERLINK("http://www.worldcat.org/oclc/619555","WorldCat Record")</f>
        <v/>
      </c>
      <c r="AU188" t="inlineStr">
        <is>
          <t>3372630614:eng</t>
        </is>
      </c>
      <c r="AV188" t="inlineStr">
        <is>
          <t>619555</t>
        </is>
      </c>
      <c r="AW188" t="inlineStr">
        <is>
          <t>991003062699702656</t>
        </is>
      </c>
      <c r="AX188" t="inlineStr">
        <is>
          <t>991003062699702656</t>
        </is>
      </c>
      <c r="AY188" t="inlineStr">
        <is>
          <t>2269984050002656</t>
        </is>
      </c>
      <c r="AZ188" t="inlineStr">
        <is>
          <t>BOOK</t>
        </is>
      </c>
      <c r="BC188" t="inlineStr">
        <is>
          <t>32285003199139</t>
        </is>
      </c>
      <c r="BD188" t="inlineStr">
        <is>
          <t>893874390</t>
        </is>
      </c>
    </row>
    <row r="189">
      <c r="A189" t="inlineStr">
        <is>
          <t>No</t>
        </is>
      </c>
      <c r="B189" t="inlineStr">
        <is>
          <t>PG3350 .B55 2003</t>
        </is>
      </c>
      <c r="C189" t="inlineStr">
        <is>
          <t>0                      PG 3350000B  55          2003</t>
        </is>
      </c>
      <c r="D189" t="inlineStr">
        <is>
          <t>Pushkin : a biography / T.J. Binyon.</t>
        </is>
      </c>
      <c r="F189" t="inlineStr">
        <is>
          <t>No</t>
        </is>
      </c>
      <c r="G189" t="inlineStr">
        <is>
          <t>1</t>
        </is>
      </c>
      <c r="H189" t="inlineStr">
        <is>
          <t>No</t>
        </is>
      </c>
      <c r="I189" t="inlineStr">
        <is>
          <t>No</t>
        </is>
      </c>
      <c r="J189" t="inlineStr">
        <is>
          <t>0</t>
        </is>
      </c>
      <c r="K189" t="inlineStr">
        <is>
          <t>Binyon, T. J.</t>
        </is>
      </c>
      <c r="L189" t="inlineStr">
        <is>
          <t>New York : Alfred A. Knopf, 2003.</t>
        </is>
      </c>
      <c r="M189" t="inlineStr">
        <is>
          <t>2003</t>
        </is>
      </c>
      <c r="N189" t="inlineStr">
        <is>
          <t>1st American ed.</t>
        </is>
      </c>
      <c r="O189" t="inlineStr">
        <is>
          <t>eng</t>
        </is>
      </c>
      <c r="P189" t="inlineStr">
        <is>
          <t>nyu</t>
        </is>
      </c>
      <c r="R189" t="inlineStr">
        <is>
          <t xml:space="preserve">PG </t>
        </is>
      </c>
      <c r="S189" t="n">
        <v>1</v>
      </c>
      <c r="T189" t="n">
        <v>1</v>
      </c>
      <c r="U189" t="inlineStr">
        <is>
          <t>2003-11-17</t>
        </is>
      </c>
      <c r="V189" t="inlineStr">
        <is>
          <t>2003-11-17</t>
        </is>
      </c>
      <c r="W189" t="inlineStr">
        <is>
          <t>2003-11-17</t>
        </is>
      </c>
      <c r="X189" t="inlineStr">
        <is>
          <t>2003-11-17</t>
        </is>
      </c>
      <c r="Y189" t="n">
        <v>817</v>
      </c>
      <c r="Z189" t="n">
        <v>795</v>
      </c>
      <c r="AA189" t="n">
        <v>983</v>
      </c>
      <c r="AB189" t="n">
        <v>9</v>
      </c>
      <c r="AC189" t="n">
        <v>12</v>
      </c>
      <c r="AD189" t="n">
        <v>30</v>
      </c>
      <c r="AE189" t="n">
        <v>39</v>
      </c>
      <c r="AF189" t="n">
        <v>14</v>
      </c>
      <c r="AG189" t="n">
        <v>17</v>
      </c>
      <c r="AH189" t="n">
        <v>4</v>
      </c>
      <c r="AI189" t="n">
        <v>7</v>
      </c>
      <c r="AJ189" t="n">
        <v>12</v>
      </c>
      <c r="AK189" t="n">
        <v>17</v>
      </c>
      <c r="AL189" t="n">
        <v>5</v>
      </c>
      <c r="AM189" t="n">
        <v>7</v>
      </c>
      <c r="AN189" t="n">
        <v>0</v>
      </c>
      <c r="AO189" t="n">
        <v>0</v>
      </c>
      <c r="AP189" t="inlineStr">
        <is>
          <t>No</t>
        </is>
      </c>
      <c r="AQ189" t="inlineStr">
        <is>
          <t>No</t>
        </is>
      </c>
      <c r="AS189">
        <f>HYPERLINK("https://creighton-primo.hosted.exlibrisgroup.com/primo-explore/search?tab=default_tab&amp;search_scope=EVERYTHING&amp;vid=01CRU&amp;lang=en_US&amp;offset=0&amp;query=any,contains,991004171639702656","Catalog Record")</f>
        <v/>
      </c>
      <c r="AT189">
        <f>HYPERLINK("http://www.worldcat.org/oclc/53277158","WorldCat Record")</f>
        <v/>
      </c>
      <c r="AU189" t="inlineStr">
        <is>
          <t>753127:eng</t>
        </is>
      </c>
      <c r="AV189" t="inlineStr">
        <is>
          <t>53277158</t>
        </is>
      </c>
      <c r="AW189" t="inlineStr">
        <is>
          <t>991004171639702656</t>
        </is>
      </c>
      <c r="AX189" t="inlineStr">
        <is>
          <t>991004171639702656</t>
        </is>
      </c>
      <c r="AY189" t="inlineStr">
        <is>
          <t>2257906260002656</t>
        </is>
      </c>
      <c r="AZ189" t="inlineStr">
        <is>
          <t>BOOK</t>
        </is>
      </c>
      <c r="BB189" t="inlineStr">
        <is>
          <t>9781400041107</t>
        </is>
      </c>
      <c r="BC189" t="inlineStr">
        <is>
          <t>32285004798681</t>
        </is>
      </c>
      <c r="BD189" t="inlineStr">
        <is>
          <t>893794557</t>
        </is>
      </c>
    </row>
    <row r="190">
      <c r="A190" t="inlineStr">
        <is>
          <t>No</t>
        </is>
      </c>
      <c r="B190" t="inlineStr">
        <is>
          <t>PG3350 .E33 1995</t>
        </is>
      </c>
      <c r="C190" t="inlineStr">
        <is>
          <t>0                      PG 3350000E  33          1995</t>
        </is>
      </c>
      <c r="D190" t="inlineStr">
        <is>
          <t>Pushkin : the man and his age / Robin Edmonds.</t>
        </is>
      </c>
      <c r="F190" t="inlineStr">
        <is>
          <t>No</t>
        </is>
      </c>
      <c r="G190" t="inlineStr">
        <is>
          <t>1</t>
        </is>
      </c>
      <c r="H190" t="inlineStr">
        <is>
          <t>No</t>
        </is>
      </c>
      <c r="I190" t="inlineStr">
        <is>
          <t>No</t>
        </is>
      </c>
      <c r="J190" t="inlineStr">
        <is>
          <t>0</t>
        </is>
      </c>
      <c r="K190" t="inlineStr">
        <is>
          <t>Edmonds, Robin.</t>
        </is>
      </c>
      <c r="L190" t="inlineStr">
        <is>
          <t>New York : St. Martin's Press, 1995.</t>
        </is>
      </c>
      <c r="M190" t="inlineStr">
        <is>
          <t>1995</t>
        </is>
      </c>
      <c r="N190" t="inlineStr">
        <is>
          <t>1st U.S. ed.</t>
        </is>
      </c>
      <c r="O190" t="inlineStr">
        <is>
          <t>eng</t>
        </is>
      </c>
      <c r="P190" t="inlineStr">
        <is>
          <t>nyu</t>
        </is>
      </c>
      <c r="R190" t="inlineStr">
        <is>
          <t xml:space="preserve">PG </t>
        </is>
      </c>
      <c r="S190" t="n">
        <v>2</v>
      </c>
      <c r="T190" t="n">
        <v>2</v>
      </c>
      <c r="U190" t="inlineStr">
        <is>
          <t>1997-09-26</t>
        </is>
      </c>
      <c r="V190" t="inlineStr">
        <is>
          <t>1997-09-26</t>
        </is>
      </c>
      <c r="W190" t="inlineStr">
        <is>
          <t>1996-03-27</t>
        </is>
      </c>
      <c r="X190" t="inlineStr">
        <is>
          <t>1996-03-27</t>
        </is>
      </c>
      <c r="Y190" t="n">
        <v>468</v>
      </c>
      <c r="Z190" t="n">
        <v>451</v>
      </c>
      <c r="AA190" t="n">
        <v>492</v>
      </c>
      <c r="AB190" t="n">
        <v>5</v>
      </c>
      <c r="AC190" t="n">
        <v>5</v>
      </c>
      <c r="AD190" t="n">
        <v>16</v>
      </c>
      <c r="AE190" t="n">
        <v>17</v>
      </c>
      <c r="AF190" t="n">
        <v>5</v>
      </c>
      <c r="AG190" t="n">
        <v>5</v>
      </c>
      <c r="AH190" t="n">
        <v>4</v>
      </c>
      <c r="AI190" t="n">
        <v>5</v>
      </c>
      <c r="AJ190" t="n">
        <v>8</v>
      </c>
      <c r="AK190" t="n">
        <v>9</v>
      </c>
      <c r="AL190" t="n">
        <v>3</v>
      </c>
      <c r="AM190" t="n">
        <v>3</v>
      </c>
      <c r="AN190" t="n">
        <v>0</v>
      </c>
      <c r="AO190" t="n">
        <v>0</v>
      </c>
      <c r="AP190" t="inlineStr">
        <is>
          <t>No</t>
        </is>
      </c>
      <c r="AQ190" t="inlineStr">
        <is>
          <t>No</t>
        </is>
      </c>
      <c r="AS190">
        <f>HYPERLINK("https://creighton-primo.hosted.exlibrisgroup.com/primo-explore/search?tab=default_tab&amp;search_scope=EVERYTHING&amp;vid=01CRU&amp;lang=en_US&amp;offset=0&amp;query=any,contains,991002525649702656","Catalog Record")</f>
        <v/>
      </c>
      <c r="AT190">
        <f>HYPERLINK("http://www.worldcat.org/oclc/32853344","WorldCat Record")</f>
        <v/>
      </c>
      <c r="AU190" t="inlineStr">
        <is>
          <t>172601:eng</t>
        </is>
      </c>
      <c r="AV190" t="inlineStr">
        <is>
          <t>32853344</t>
        </is>
      </c>
      <c r="AW190" t="inlineStr">
        <is>
          <t>991002525649702656</t>
        </is>
      </c>
      <c r="AX190" t="inlineStr">
        <is>
          <t>991002525649702656</t>
        </is>
      </c>
      <c r="AY190" t="inlineStr">
        <is>
          <t>2269023410002656</t>
        </is>
      </c>
      <c r="AZ190" t="inlineStr">
        <is>
          <t>BOOK</t>
        </is>
      </c>
      <c r="BB190" t="inlineStr">
        <is>
          <t>9780312135935</t>
        </is>
      </c>
      <c r="BC190" t="inlineStr">
        <is>
          <t>32285002147337</t>
        </is>
      </c>
      <c r="BD190" t="inlineStr">
        <is>
          <t>893721503</t>
        </is>
      </c>
    </row>
    <row r="191">
      <c r="A191" t="inlineStr">
        <is>
          <t>No</t>
        </is>
      </c>
      <c r="B191" t="inlineStr">
        <is>
          <t>PG3350 .M28 1968</t>
        </is>
      </c>
      <c r="C191" t="inlineStr">
        <is>
          <t>0                      PG 3350000M  28          1968</t>
        </is>
      </c>
      <c r="D191" t="inlineStr">
        <is>
          <t>Pushkin : a biography.</t>
        </is>
      </c>
      <c r="F191" t="inlineStr">
        <is>
          <t>No</t>
        </is>
      </c>
      <c r="G191" t="inlineStr">
        <is>
          <t>1</t>
        </is>
      </c>
      <c r="H191" t="inlineStr">
        <is>
          <t>No</t>
        </is>
      </c>
      <c r="I191" t="inlineStr">
        <is>
          <t>No</t>
        </is>
      </c>
      <c r="J191" t="inlineStr">
        <is>
          <t>0</t>
        </is>
      </c>
      <c r="K191" t="inlineStr">
        <is>
          <t>Magarshack, David.</t>
        </is>
      </c>
      <c r="L191" t="inlineStr">
        <is>
          <t>New York : Grove Press, [1968, c1967]</t>
        </is>
      </c>
      <c r="M191" t="inlineStr">
        <is>
          <t>1968</t>
        </is>
      </c>
      <c r="O191" t="inlineStr">
        <is>
          <t>eng</t>
        </is>
      </c>
      <c r="P191" t="inlineStr">
        <is>
          <t>nyu</t>
        </is>
      </c>
      <c r="R191" t="inlineStr">
        <is>
          <t xml:space="preserve">PG </t>
        </is>
      </c>
      <c r="S191" t="n">
        <v>4</v>
      </c>
      <c r="T191" t="n">
        <v>4</v>
      </c>
      <c r="U191" t="inlineStr">
        <is>
          <t>1997-09-26</t>
        </is>
      </c>
      <c r="V191" t="inlineStr">
        <is>
          <t>1997-09-26</t>
        </is>
      </c>
      <c r="W191" t="inlineStr">
        <is>
          <t>1990-02-21</t>
        </is>
      </c>
      <c r="X191" t="inlineStr">
        <is>
          <t>1990-02-21</t>
        </is>
      </c>
      <c r="Y191" t="n">
        <v>621</v>
      </c>
      <c r="Z191" t="n">
        <v>608</v>
      </c>
      <c r="AA191" t="n">
        <v>756</v>
      </c>
      <c r="AB191" t="n">
        <v>3</v>
      </c>
      <c r="AC191" t="n">
        <v>3</v>
      </c>
      <c r="AD191" t="n">
        <v>19</v>
      </c>
      <c r="AE191" t="n">
        <v>29</v>
      </c>
      <c r="AF191" t="n">
        <v>8</v>
      </c>
      <c r="AG191" t="n">
        <v>12</v>
      </c>
      <c r="AH191" t="n">
        <v>5</v>
      </c>
      <c r="AI191" t="n">
        <v>9</v>
      </c>
      <c r="AJ191" t="n">
        <v>8</v>
      </c>
      <c r="AK191" t="n">
        <v>14</v>
      </c>
      <c r="AL191" t="n">
        <v>2</v>
      </c>
      <c r="AM191" t="n">
        <v>2</v>
      </c>
      <c r="AN191" t="n">
        <v>0</v>
      </c>
      <c r="AO191" t="n">
        <v>0</v>
      </c>
      <c r="AP191" t="inlineStr">
        <is>
          <t>No</t>
        </is>
      </c>
      <c r="AQ191" t="inlineStr">
        <is>
          <t>Yes</t>
        </is>
      </c>
      <c r="AR191">
        <f>HYPERLINK("http://catalog.hathitrust.org/Record/001060449","HathiTrust Record")</f>
        <v/>
      </c>
      <c r="AS191">
        <f>HYPERLINK("https://creighton-primo.hosted.exlibrisgroup.com/primo-explore/search?tab=default_tab&amp;search_scope=EVERYTHING&amp;vid=01CRU&amp;lang=en_US&amp;offset=0&amp;query=any,contains,991002768119702656","Catalog Record")</f>
        <v/>
      </c>
      <c r="AT191">
        <f>HYPERLINK("http://www.worldcat.org/oclc/435744","WorldCat Record")</f>
        <v/>
      </c>
      <c r="AU191" t="inlineStr">
        <is>
          <t>1909237922:eng</t>
        </is>
      </c>
      <c r="AV191" t="inlineStr">
        <is>
          <t>435744</t>
        </is>
      </c>
      <c r="AW191" t="inlineStr">
        <is>
          <t>991002768119702656</t>
        </is>
      </c>
      <c r="AX191" t="inlineStr">
        <is>
          <t>991002768119702656</t>
        </is>
      </c>
      <c r="AY191" t="inlineStr">
        <is>
          <t>2269295070002656</t>
        </is>
      </c>
      <c r="AZ191" t="inlineStr">
        <is>
          <t>BOOK</t>
        </is>
      </c>
      <c r="BC191" t="inlineStr">
        <is>
          <t>32285000048495</t>
        </is>
      </c>
      <c r="BD191" t="inlineStr">
        <is>
          <t>893239463</t>
        </is>
      </c>
    </row>
    <row r="192">
      <c r="A192" t="inlineStr">
        <is>
          <t>No</t>
        </is>
      </c>
      <c r="B192" t="inlineStr">
        <is>
          <t>PG3350 .V5</t>
        </is>
      </c>
      <c r="C192" t="inlineStr">
        <is>
          <t>0                      PG 3350000V  5</t>
        </is>
      </c>
      <c r="D192" t="inlineStr">
        <is>
          <t>Alexander Pushkin / by Walter N. Vickery.</t>
        </is>
      </c>
      <c r="F192" t="inlineStr">
        <is>
          <t>No</t>
        </is>
      </c>
      <c r="G192" t="inlineStr">
        <is>
          <t>1</t>
        </is>
      </c>
      <c r="H192" t="inlineStr">
        <is>
          <t>No</t>
        </is>
      </c>
      <c r="I192" t="inlineStr">
        <is>
          <t>No</t>
        </is>
      </c>
      <c r="J192" t="inlineStr">
        <is>
          <t>0</t>
        </is>
      </c>
      <c r="K192" t="inlineStr">
        <is>
          <t>Vickery, Walter N., 1921-1995.</t>
        </is>
      </c>
      <c r="L192" t="inlineStr">
        <is>
          <t>New York : Twayne Publishers, [1970]</t>
        </is>
      </c>
      <c r="M192" t="inlineStr">
        <is>
          <t>1970</t>
        </is>
      </c>
      <c r="O192" t="inlineStr">
        <is>
          <t>eng</t>
        </is>
      </c>
      <c r="P192" t="inlineStr">
        <is>
          <t>nyu</t>
        </is>
      </c>
      <c r="Q192" t="inlineStr">
        <is>
          <t>Twayne's world authors series, TWAS 82. Russia</t>
        </is>
      </c>
      <c r="R192" t="inlineStr">
        <is>
          <t xml:space="preserve">PG </t>
        </is>
      </c>
      <c r="S192" t="n">
        <v>7</v>
      </c>
      <c r="T192" t="n">
        <v>7</v>
      </c>
      <c r="U192" t="inlineStr">
        <is>
          <t>2003-04-14</t>
        </is>
      </c>
      <c r="V192" t="inlineStr">
        <is>
          <t>2003-04-14</t>
        </is>
      </c>
      <c r="W192" t="inlineStr">
        <is>
          <t>1990-02-21</t>
        </is>
      </c>
      <c r="X192" t="inlineStr">
        <is>
          <t>1990-02-21</t>
        </is>
      </c>
      <c r="Y192" t="n">
        <v>1108</v>
      </c>
      <c r="Z192" t="n">
        <v>1010</v>
      </c>
      <c r="AA192" t="n">
        <v>1324</v>
      </c>
      <c r="AB192" t="n">
        <v>5</v>
      </c>
      <c r="AC192" t="n">
        <v>7</v>
      </c>
      <c r="AD192" t="n">
        <v>30</v>
      </c>
      <c r="AE192" t="n">
        <v>42</v>
      </c>
      <c r="AF192" t="n">
        <v>14</v>
      </c>
      <c r="AG192" t="n">
        <v>20</v>
      </c>
      <c r="AH192" t="n">
        <v>6</v>
      </c>
      <c r="AI192" t="n">
        <v>8</v>
      </c>
      <c r="AJ192" t="n">
        <v>13</v>
      </c>
      <c r="AK192" t="n">
        <v>18</v>
      </c>
      <c r="AL192" t="n">
        <v>4</v>
      </c>
      <c r="AM192" t="n">
        <v>6</v>
      </c>
      <c r="AN192" t="n">
        <v>0</v>
      </c>
      <c r="AO192" t="n">
        <v>0</v>
      </c>
      <c r="AP192" t="inlineStr">
        <is>
          <t>No</t>
        </is>
      </c>
      <c r="AQ192" t="inlineStr">
        <is>
          <t>Yes</t>
        </is>
      </c>
      <c r="AR192">
        <f>HYPERLINK("http://catalog.hathitrust.org/Record/001110409","HathiTrust Record")</f>
        <v/>
      </c>
      <c r="AS192">
        <f>HYPERLINK("https://creighton-primo.hosted.exlibrisgroup.com/primo-explore/search?tab=default_tab&amp;search_scope=EVERYTHING&amp;vid=01CRU&amp;lang=en_US&amp;offset=0&amp;query=any,contains,991000218939702656","Catalog Record")</f>
        <v/>
      </c>
      <c r="AT192">
        <f>HYPERLINK("http://www.worldcat.org/oclc/67345","WorldCat Record")</f>
        <v/>
      </c>
      <c r="AU192" t="inlineStr">
        <is>
          <t>101574401:eng</t>
        </is>
      </c>
      <c r="AV192" t="inlineStr">
        <is>
          <t>67345</t>
        </is>
      </c>
      <c r="AW192" t="inlineStr">
        <is>
          <t>991000218939702656</t>
        </is>
      </c>
      <c r="AX192" t="inlineStr">
        <is>
          <t>991000218939702656</t>
        </is>
      </c>
      <c r="AY192" t="inlineStr">
        <is>
          <t>2258094240002656</t>
        </is>
      </c>
      <c r="AZ192" t="inlineStr">
        <is>
          <t>BOOK</t>
        </is>
      </c>
      <c r="BC192" t="inlineStr">
        <is>
          <t>32285000048503</t>
        </is>
      </c>
      <c r="BD192" t="inlineStr">
        <is>
          <t>893496058</t>
        </is>
      </c>
    </row>
    <row r="193">
      <c r="A193" t="inlineStr">
        <is>
          <t>No</t>
        </is>
      </c>
      <c r="B193" t="inlineStr">
        <is>
          <t>PG3350.5.D4 V5</t>
        </is>
      </c>
      <c r="C193" t="inlineStr">
        <is>
          <t>0                      PG 3350500D  4                  V  5</t>
        </is>
      </c>
      <c r="D193" t="inlineStr">
        <is>
          <t>Pushkin: death of a poet [by] Walter N. Vickery.</t>
        </is>
      </c>
      <c r="F193" t="inlineStr">
        <is>
          <t>No</t>
        </is>
      </c>
      <c r="G193" t="inlineStr">
        <is>
          <t>2</t>
        </is>
      </c>
      <c r="H193" t="inlineStr">
        <is>
          <t>No</t>
        </is>
      </c>
      <c r="I193" t="inlineStr">
        <is>
          <t>No</t>
        </is>
      </c>
      <c r="J193" t="inlineStr">
        <is>
          <t>0</t>
        </is>
      </c>
      <c r="K193" t="inlineStr">
        <is>
          <t>Vickery, Walter N., 1921-1995.</t>
        </is>
      </c>
      <c r="L193" t="inlineStr">
        <is>
          <t>Bloomington, Indiana University Press [1968]</t>
        </is>
      </c>
      <c r="M193" t="inlineStr">
        <is>
          <t>1968</t>
        </is>
      </c>
      <c r="O193" t="inlineStr">
        <is>
          <t>eng</t>
        </is>
      </c>
      <c r="P193" t="inlineStr">
        <is>
          <t>inu</t>
        </is>
      </c>
      <c r="R193" t="inlineStr">
        <is>
          <t xml:space="preserve">PG </t>
        </is>
      </c>
      <c r="S193" t="n">
        <v>13</v>
      </c>
      <c r="T193" t="n">
        <v>13</v>
      </c>
      <c r="U193" t="inlineStr">
        <is>
          <t>2005-02-11</t>
        </is>
      </c>
      <c r="V193" t="inlineStr">
        <is>
          <t>2005-02-11</t>
        </is>
      </c>
      <c r="W193" t="inlineStr">
        <is>
          <t>1991-11-12</t>
        </is>
      </c>
      <c r="X193" t="inlineStr">
        <is>
          <t>1991-11-12</t>
        </is>
      </c>
      <c r="Y193" t="n">
        <v>671</v>
      </c>
      <c r="Z193" t="n">
        <v>611</v>
      </c>
      <c r="AA193" t="n">
        <v>618</v>
      </c>
      <c r="AB193" t="n">
        <v>4</v>
      </c>
      <c r="AC193" t="n">
        <v>4</v>
      </c>
      <c r="AD193" t="n">
        <v>23</v>
      </c>
      <c r="AE193" t="n">
        <v>23</v>
      </c>
      <c r="AF193" t="n">
        <v>7</v>
      </c>
      <c r="AG193" t="n">
        <v>7</v>
      </c>
      <c r="AH193" t="n">
        <v>6</v>
      </c>
      <c r="AI193" t="n">
        <v>6</v>
      </c>
      <c r="AJ193" t="n">
        <v>13</v>
      </c>
      <c r="AK193" t="n">
        <v>13</v>
      </c>
      <c r="AL193" t="n">
        <v>3</v>
      </c>
      <c r="AM193" t="n">
        <v>3</v>
      </c>
      <c r="AN193" t="n">
        <v>0</v>
      </c>
      <c r="AO193" t="n">
        <v>0</v>
      </c>
      <c r="AP193" t="inlineStr">
        <is>
          <t>No</t>
        </is>
      </c>
      <c r="AQ193" t="inlineStr">
        <is>
          <t>Yes</t>
        </is>
      </c>
      <c r="AR193">
        <f>HYPERLINK("http://catalog.hathitrust.org/Record/001060492","HathiTrust Record")</f>
        <v/>
      </c>
      <c r="AS193">
        <f>HYPERLINK("https://creighton-primo.hosted.exlibrisgroup.com/primo-explore/search?tab=default_tab&amp;search_scope=EVERYTHING&amp;vid=01CRU&amp;lang=en_US&amp;offset=0&amp;query=any,contains,991002002529702656","Catalog Record")</f>
        <v/>
      </c>
      <c r="AT193">
        <f>HYPERLINK("http://www.worldcat.org/oclc/256891","WorldCat Record")</f>
        <v/>
      </c>
      <c r="AU193" t="inlineStr">
        <is>
          <t>198060876:eng</t>
        </is>
      </c>
      <c r="AV193" t="inlineStr">
        <is>
          <t>256891</t>
        </is>
      </c>
      <c r="AW193" t="inlineStr">
        <is>
          <t>991002002529702656</t>
        </is>
      </c>
      <c r="AX193" t="inlineStr">
        <is>
          <t>991002002529702656</t>
        </is>
      </c>
      <c r="AY193" t="inlineStr">
        <is>
          <t>2272257170002656</t>
        </is>
      </c>
      <c r="AZ193" t="inlineStr">
        <is>
          <t>BOOK</t>
        </is>
      </c>
      <c r="BC193" t="inlineStr">
        <is>
          <t>32285000821602</t>
        </is>
      </c>
      <c r="BD193" t="inlineStr">
        <is>
          <t>893322455</t>
        </is>
      </c>
    </row>
    <row r="194">
      <c r="A194" t="inlineStr">
        <is>
          <t>No</t>
        </is>
      </c>
      <c r="B194" t="inlineStr">
        <is>
          <t>PG3358.F5 D4 1983</t>
        </is>
      </c>
      <c r="C194" t="inlineStr">
        <is>
          <t>0                      PG 3358000F  5                  D  4           1983</t>
        </is>
      </c>
      <c r="D194" t="inlineStr">
        <is>
          <t>The other Pushkin : a study of Alexander Pushkin's prose fiction / Paul Debreczeny.</t>
        </is>
      </c>
      <c r="F194" t="inlineStr">
        <is>
          <t>No</t>
        </is>
      </c>
      <c r="G194" t="inlineStr">
        <is>
          <t>1</t>
        </is>
      </c>
      <c r="H194" t="inlineStr">
        <is>
          <t>No</t>
        </is>
      </c>
      <c r="I194" t="inlineStr">
        <is>
          <t>No</t>
        </is>
      </c>
      <c r="J194" t="inlineStr">
        <is>
          <t>0</t>
        </is>
      </c>
      <c r="K194" t="inlineStr">
        <is>
          <t>Debreczeny, Paul.</t>
        </is>
      </c>
      <c r="L194" t="inlineStr">
        <is>
          <t>Stanford, Calif. : Stanford University Press, 1983.</t>
        </is>
      </c>
      <c r="M194" t="inlineStr">
        <is>
          <t>1983</t>
        </is>
      </c>
      <c r="O194" t="inlineStr">
        <is>
          <t>eng</t>
        </is>
      </c>
      <c r="P194" t="inlineStr">
        <is>
          <t>cau</t>
        </is>
      </c>
      <c r="R194" t="inlineStr">
        <is>
          <t xml:space="preserve">PG </t>
        </is>
      </c>
      <c r="S194" t="n">
        <v>2</v>
      </c>
      <c r="T194" t="n">
        <v>2</v>
      </c>
      <c r="U194" t="inlineStr">
        <is>
          <t>2003-04-14</t>
        </is>
      </c>
      <c r="V194" t="inlineStr">
        <is>
          <t>2003-04-14</t>
        </is>
      </c>
      <c r="W194" t="inlineStr">
        <is>
          <t>1993-04-28</t>
        </is>
      </c>
      <c r="X194" t="inlineStr">
        <is>
          <t>1993-04-28</t>
        </is>
      </c>
      <c r="Y194" t="n">
        <v>596</v>
      </c>
      <c r="Z194" t="n">
        <v>491</v>
      </c>
      <c r="AA194" t="n">
        <v>496</v>
      </c>
      <c r="AB194" t="n">
        <v>3</v>
      </c>
      <c r="AC194" t="n">
        <v>3</v>
      </c>
      <c r="AD194" t="n">
        <v>24</v>
      </c>
      <c r="AE194" t="n">
        <v>24</v>
      </c>
      <c r="AF194" t="n">
        <v>9</v>
      </c>
      <c r="AG194" t="n">
        <v>9</v>
      </c>
      <c r="AH194" t="n">
        <v>7</v>
      </c>
      <c r="AI194" t="n">
        <v>7</v>
      </c>
      <c r="AJ194" t="n">
        <v>13</v>
      </c>
      <c r="AK194" t="n">
        <v>13</v>
      </c>
      <c r="AL194" t="n">
        <v>2</v>
      </c>
      <c r="AM194" t="n">
        <v>2</v>
      </c>
      <c r="AN194" t="n">
        <v>0</v>
      </c>
      <c r="AO194" t="n">
        <v>0</v>
      </c>
      <c r="AP194" t="inlineStr">
        <is>
          <t>No</t>
        </is>
      </c>
      <c r="AQ194" t="inlineStr">
        <is>
          <t>No</t>
        </is>
      </c>
      <c r="AS194">
        <f>HYPERLINK("https://creighton-primo.hosted.exlibrisgroup.com/primo-explore/search?tab=default_tab&amp;search_scope=EVERYTHING&amp;vid=01CRU&amp;lang=en_US&amp;offset=0&amp;query=any,contains,991000225289702656","Catalog Record")</f>
        <v/>
      </c>
      <c r="AT194">
        <f>HYPERLINK("http://www.worldcat.org/oclc/9616862","WorldCat Record")</f>
        <v/>
      </c>
      <c r="AU194" t="inlineStr">
        <is>
          <t>43076826:eng</t>
        </is>
      </c>
      <c r="AV194" t="inlineStr">
        <is>
          <t>9616862</t>
        </is>
      </c>
      <c r="AW194" t="inlineStr">
        <is>
          <t>991000225289702656</t>
        </is>
      </c>
      <c r="AX194" t="inlineStr">
        <is>
          <t>991000225289702656</t>
        </is>
      </c>
      <c r="AY194" t="inlineStr">
        <is>
          <t>2259061160002656</t>
        </is>
      </c>
      <c r="AZ194" t="inlineStr">
        <is>
          <t>BOOK</t>
        </is>
      </c>
      <c r="BB194" t="inlineStr">
        <is>
          <t>9780804711432</t>
        </is>
      </c>
      <c r="BC194" t="inlineStr">
        <is>
          <t>32285001649200</t>
        </is>
      </c>
      <c r="BD194" t="inlineStr">
        <is>
          <t>893515125</t>
        </is>
      </c>
    </row>
    <row r="195">
      <c r="A195" t="inlineStr">
        <is>
          <t>No</t>
        </is>
      </c>
      <c r="B195" t="inlineStr">
        <is>
          <t>PG3363 .K5 1959</t>
        </is>
      </c>
      <c r="C195" t="inlineStr">
        <is>
          <t>0                      PG 3363000K  5           1959</t>
        </is>
      </c>
      <c r="D195" t="inlineStr">
        <is>
          <t>Kni͡azʹ Serebri͡anyĭ : povestʹ vremen Ioanna Groznogo / [Posleslovie i primechanii͡a V.I. Koret͡skogo]</t>
        </is>
      </c>
      <c r="F195" t="inlineStr">
        <is>
          <t>No</t>
        </is>
      </c>
      <c r="G195" t="inlineStr">
        <is>
          <t>1</t>
        </is>
      </c>
      <c r="H195" t="inlineStr">
        <is>
          <t>No</t>
        </is>
      </c>
      <c r="I195" t="inlineStr">
        <is>
          <t>No</t>
        </is>
      </c>
      <c r="J195" t="inlineStr">
        <is>
          <t>0</t>
        </is>
      </c>
      <c r="K195" t="inlineStr">
        <is>
          <t>Tolstoy, Aleksey Konstantinovich, graf, 1817-1875.</t>
        </is>
      </c>
      <c r="L195" t="inlineStr">
        <is>
          <t>Moskva : Gos. izd-vo detskoĭ lit-ry, 1959.</t>
        </is>
      </c>
      <c r="M195" t="inlineStr">
        <is>
          <t>1959</t>
        </is>
      </c>
      <c r="O195" t="inlineStr">
        <is>
          <t>rus</t>
        </is>
      </c>
      <c r="P195" t="inlineStr">
        <is>
          <t xml:space="preserve">ru </t>
        </is>
      </c>
      <c r="Q195" t="inlineStr">
        <is>
          <t>Shkolʹnai͡a biblioteka</t>
        </is>
      </c>
      <c r="R195" t="inlineStr">
        <is>
          <t xml:space="preserve">PG </t>
        </is>
      </c>
      <c r="S195" t="n">
        <v>4</v>
      </c>
      <c r="T195" t="n">
        <v>4</v>
      </c>
      <c r="U195" t="inlineStr">
        <is>
          <t>2006-06-05</t>
        </is>
      </c>
      <c r="V195" t="inlineStr">
        <is>
          <t>2006-06-05</t>
        </is>
      </c>
      <c r="W195" t="inlineStr">
        <is>
          <t>1994-06-29</t>
        </is>
      </c>
      <c r="X195" t="inlineStr">
        <is>
          <t>1994-06-29</t>
        </is>
      </c>
      <c r="Y195" t="n">
        <v>19</v>
      </c>
      <c r="Z195" t="n">
        <v>15</v>
      </c>
      <c r="AA195" t="n">
        <v>93</v>
      </c>
      <c r="AB195" t="n">
        <v>1</v>
      </c>
      <c r="AC195" t="n">
        <v>1</v>
      </c>
      <c r="AD195" t="n">
        <v>2</v>
      </c>
      <c r="AE195" t="n">
        <v>3</v>
      </c>
      <c r="AF195" t="n">
        <v>0</v>
      </c>
      <c r="AG195" t="n">
        <v>0</v>
      </c>
      <c r="AH195" t="n">
        <v>1</v>
      </c>
      <c r="AI195" t="n">
        <v>2</v>
      </c>
      <c r="AJ195" t="n">
        <v>2</v>
      </c>
      <c r="AK195" t="n">
        <v>2</v>
      </c>
      <c r="AL195" t="n">
        <v>0</v>
      </c>
      <c r="AM195" t="n">
        <v>0</v>
      </c>
      <c r="AN195" t="n">
        <v>0</v>
      </c>
      <c r="AO195" t="n">
        <v>0</v>
      </c>
      <c r="AP195" t="inlineStr">
        <is>
          <t>No</t>
        </is>
      </c>
      <c r="AQ195" t="inlineStr">
        <is>
          <t>Yes</t>
        </is>
      </c>
      <c r="AR195">
        <f>HYPERLINK("http://catalog.hathitrust.org/Record/001061009","HathiTrust Record")</f>
        <v/>
      </c>
      <c r="AS195">
        <f>HYPERLINK("https://creighton-primo.hosted.exlibrisgroup.com/primo-explore/search?tab=default_tab&amp;search_scope=EVERYTHING&amp;vid=01CRU&amp;lang=en_US&amp;offset=0&amp;query=any,contains,991000981449702656","Catalog Record")</f>
        <v/>
      </c>
      <c r="AT195">
        <f>HYPERLINK("http://www.worldcat.org/oclc/15030138","WorldCat Record")</f>
        <v/>
      </c>
      <c r="AU195" t="inlineStr">
        <is>
          <t>5534163036:rus</t>
        </is>
      </c>
      <c r="AV195" t="inlineStr">
        <is>
          <t>15030138</t>
        </is>
      </c>
      <c r="AW195" t="inlineStr">
        <is>
          <t>991000981449702656</t>
        </is>
      </c>
      <c r="AX195" t="inlineStr">
        <is>
          <t>991000981449702656</t>
        </is>
      </c>
      <c r="AY195" t="inlineStr">
        <is>
          <t>2257030620002656</t>
        </is>
      </c>
      <c r="AZ195" t="inlineStr">
        <is>
          <t>BOOK</t>
        </is>
      </c>
      <c r="BC195" t="inlineStr">
        <is>
          <t>32285001935732</t>
        </is>
      </c>
      <c r="BD195" t="inlineStr">
        <is>
          <t>893346143</t>
        </is>
      </c>
    </row>
    <row r="196">
      <c r="A196" t="inlineStr">
        <is>
          <t>No</t>
        </is>
      </c>
      <c r="B196" t="inlineStr">
        <is>
          <t>PG3365 .A2 1978b</t>
        </is>
      </c>
      <c r="C196" t="inlineStr">
        <is>
          <t>0                      PG 3365000A  2           1978b</t>
        </is>
      </c>
      <c r="D196" t="inlineStr">
        <is>
          <t>The portable Tolstoy / selected and with a critical introd., biographical summary, and bibliography by John Bayley.</t>
        </is>
      </c>
      <c r="F196" t="inlineStr">
        <is>
          <t>No</t>
        </is>
      </c>
      <c r="G196" t="inlineStr">
        <is>
          <t>1</t>
        </is>
      </c>
      <c r="H196" t="inlineStr">
        <is>
          <t>No</t>
        </is>
      </c>
      <c r="I196" t="inlineStr">
        <is>
          <t>No</t>
        </is>
      </c>
      <c r="J196" t="inlineStr">
        <is>
          <t>0</t>
        </is>
      </c>
      <c r="K196" t="inlineStr">
        <is>
          <t>Tolstoy, Leo, graf, 1828-1910.</t>
        </is>
      </c>
      <c r="L196" t="inlineStr">
        <is>
          <t>Harmondsworth, Eng. ; New York : Penguin Books, 1978.</t>
        </is>
      </c>
      <c r="M196" t="inlineStr">
        <is>
          <t>1978</t>
        </is>
      </c>
      <c r="O196" t="inlineStr">
        <is>
          <t>eng</t>
        </is>
      </c>
      <c r="P196" t="inlineStr">
        <is>
          <t>enk</t>
        </is>
      </c>
      <c r="Q196" t="inlineStr">
        <is>
          <t>The Viking portable library</t>
        </is>
      </c>
      <c r="R196" t="inlineStr">
        <is>
          <t xml:space="preserve">PG </t>
        </is>
      </c>
      <c r="S196" t="n">
        <v>4</v>
      </c>
      <c r="T196" t="n">
        <v>4</v>
      </c>
      <c r="U196" t="inlineStr">
        <is>
          <t>2002-09-05</t>
        </is>
      </c>
      <c r="V196" t="inlineStr">
        <is>
          <t>2002-09-05</t>
        </is>
      </c>
      <c r="W196" t="inlineStr">
        <is>
          <t>1994-03-30</t>
        </is>
      </c>
      <c r="X196" t="inlineStr">
        <is>
          <t>1994-03-30</t>
        </is>
      </c>
      <c r="Y196" t="n">
        <v>415</v>
      </c>
      <c r="Z196" t="n">
        <v>396</v>
      </c>
      <c r="AA196" t="n">
        <v>566</v>
      </c>
      <c r="AB196" t="n">
        <v>3</v>
      </c>
      <c r="AC196" t="n">
        <v>4</v>
      </c>
      <c r="AD196" t="n">
        <v>6</v>
      </c>
      <c r="AE196" t="n">
        <v>9</v>
      </c>
      <c r="AF196" t="n">
        <v>3</v>
      </c>
      <c r="AG196" t="n">
        <v>3</v>
      </c>
      <c r="AH196" t="n">
        <v>1</v>
      </c>
      <c r="AI196" t="n">
        <v>2</v>
      </c>
      <c r="AJ196" t="n">
        <v>3</v>
      </c>
      <c r="AK196" t="n">
        <v>5</v>
      </c>
      <c r="AL196" t="n">
        <v>1</v>
      </c>
      <c r="AM196" t="n">
        <v>2</v>
      </c>
      <c r="AN196" t="n">
        <v>0</v>
      </c>
      <c r="AO196" t="n">
        <v>0</v>
      </c>
      <c r="AP196" t="inlineStr">
        <is>
          <t>No</t>
        </is>
      </c>
      <c r="AQ196" t="inlineStr">
        <is>
          <t>Yes</t>
        </is>
      </c>
      <c r="AR196">
        <f>HYPERLINK("http://catalog.hathitrust.org/Record/002885412","HathiTrust Record")</f>
        <v/>
      </c>
      <c r="AS196">
        <f>HYPERLINK("https://creighton-primo.hosted.exlibrisgroup.com/primo-explore/search?tab=default_tab&amp;search_scope=EVERYTHING&amp;vid=01CRU&amp;lang=en_US&amp;offset=0&amp;query=any,contains,991004527079702656","Catalog Record")</f>
        <v/>
      </c>
      <c r="AT196">
        <f>HYPERLINK("http://www.worldcat.org/oclc/3843908","WorldCat Record")</f>
        <v/>
      </c>
      <c r="AU196" t="inlineStr">
        <is>
          <t>2908868470:eng</t>
        </is>
      </c>
      <c r="AV196" t="inlineStr">
        <is>
          <t>3843908</t>
        </is>
      </c>
      <c r="AW196" t="inlineStr">
        <is>
          <t>991004527079702656</t>
        </is>
      </c>
      <c r="AX196" t="inlineStr">
        <is>
          <t>991004527079702656</t>
        </is>
      </c>
      <c r="AY196" t="inlineStr">
        <is>
          <t>2264868400002656</t>
        </is>
      </c>
      <c r="AZ196" t="inlineStr">
        <is>
          <t>BOOK</t>
        </is>
      </c>
      <c r="BB196" t="inlineStr">
        <is>
          <t>9780140150919</t>
        </is>
      </c>
      <c r="BC196" t="inlineStr">
        <is>
          <t>32285001858363</t>
        </is>
      </c>
      <c r="BD196" t="inlineStr">
        <is>
          <t>893331702</t>
        </is>
      </c>
    </row>
    <row r="197">
      <c r="A197" t="inlineStr">
        <is>
          <t>No</t>
        </is>
      </c>
      <c r="B197" t="inlineStr">
        <is>
          <t>PG3365 .A6</t>
        </is>
      </c>
      <c r="C197" t="inlineStr">
        <is>
          <t>0                      PG 3365000A  6</t>
        </is>
      </c>
      <c r="D197" t="inlineStr">
        <is>
          <t>Anna Karenina : roman / L. N. Tolstoĭ.</t>
        </is>
      </c>
      <c r="E197" t="inlineStr">
        <is>
          <t>V.1</t>
        </is>
      </c>
      <c r="F197" t="inlineStr">
        <is>
          <t>Yes</t>
        </is>
      </c>
      <c r="G197" t="inlineStr">
        <is>
          <t>1</t>
        </is>
      </c>
      <c r="H197" t="inlineStr">
        <is>
          <t>No</t>
        </is>
      </c>
      <c r="I197" t="inlineStr">
        <is>
          <t>No</t>
        </is>
      </c>
      <c r="J197" t="inlineStr">
        <is>
          <t>0</t>
        </is>
      </c>
      <c r="K197" t="inlineStr">
        <is>
          <t>Tolstoy, Leo, graf, 1828-1910.</t>
        </is>
      </c>
      <c r="L197" t="inlineStr">
        <is>
          <t>Moskva : Gos. izd-vo khudozh. lit-ry, 1959.</t>
        </is>
      </c>
      <c r="M197" t="inlineStr">
        <is>
          <t>1959</t>
        </is>
      </c>
      <c r="O197" t="inlineStr">
        <is>
          <t>rus</t>
        </is>
      </c>
      <c r="P197" t="inlineStr">
        <is>
          <t xml:space="preserve">ru </t>
        </is>
      </c>
      <c r="R197" t="inlineStr">
        <is>
          <t xml:space="preserve">PG </t>
        </is>
      </c>
      <c r="S197" t="n">
        <v>5</v>
      </c>
      <c r="T197" t="n">
        <v>10</v>
      </c>
      <c r="U197" t="inlineStr">
        <is>
          <t>2001-08-25</t>
        </is>
      </c>
      <c r="V197" t="inlineStr">
        <is>
          <t>2001-08-25</t>
        </is>
      </c>
      <c r="W197" t="inlineStr">
        <is>
          <t>1995-03-02</t>
        </is>
      </c>
      <c r="X197" t="inlineStr">
        <is>
          <t>1995-03-02</t>
        </is>
      </c>
      <c r="Y197" t="n">
        <v>20</v>
      </c>
      <c r="Z197" t="n">
        <v>17</v>
      </c>
      <c r="AA197" t="n">
        <v>452</v>
      </c>
      <c r="AB197" t="n">
        <v>1</v>
      </c>
      <c r="AC197" t="n">
        <v>3</v>
      </c>
      <c r="AD197" t="n">
        <v>1</v>
      </c>
      <c r="AE197" t="n">
        <v>15</v>
      </c>
      <c r="AF197" t="n">
        <v>0</v>
      </c>
      <c r="AG197" t="n">
        <v>5</v>
      </c>
      <c r="AH197" t="n">
        <v>1</v>
      </c>
      <c r="AI197" t="n">
        <v>5</v>
      </c>
      <c r="AJ197" t="n">
        <v>1</v>
      </c>
      <c r="AK197" t="n">
        <v>9</v>
      </c>
      <c r="AL197" t="n">
        <v>0</v>
      </c>
      <c r="AM197" t="n">
        <v>1</v>
      </c>
      <c r="AN197" t="n">
        <v>0</v>
      </c>
      <c r="AO197" t="n">
        <v>0</v>
      </c>
      <c r="AP197" t="inlineStr">
        <is>
          <t>No</t>
        </is>
      </c>
      <c r="AQ197" t="inlineStr">
        <is>
          <t>No</t>
        </is>
      </c>
      <c r="AS197">
        <f>HYPERLINK("https://creighton-primo.hosted.exlibrisgroup.com/primo-explore/search?tab=default_tab&amp;search_scope=EVERYTHING&amp;vid=01CRU&amp;lang=en_US&amp;offset=0&amp;query=any,contains,991000748679702656","Catalog Record")</f>
        <v/>
      </c>
      <c r="AT197">
        <f>HYPERLINK("http://www.worldcat.org/oclc/12895600","WorldCat Record")</f>
        <v/>
      </c>
      <c r="AU197" t="inlineStr">
        <is>
          <t>509824227:rus</t>
        </is>
      </c>
      <c r="AV197" t="inlineStr">
        <is>
          <t>12895600</t>
        </is>
      </c>
      <c r="AW197" t="inlineStr">
        <is>
          <t>991000748679702656</t>
        </is>
      </c>
      <c r="AX197" t="inlineStr">
        <is>
          <t>991000748679702656</t>
        </is>
      </c>
      <c r="AY197" t="inlineStr">
        <is>
          <t>2264602550002656</t>
        </is>
      </c>
      <c r="AZ197" t="inlineStr">
        <is>
          <t>BOOK</t>
        </is>
      </c>
      <c r="BC197" t="inlineStr">
        <is>
          <t>32285002011251</t>
        </is>
      </c>
      <c r="BD197" t="inlineStr">
        <is>
          <t>893796959</t>
        </is>
      </c>
    </row>
    <row r="198">
      <c r="A198" t="inlineStr">
        <is>
          <t>No</t>
        </is>
      </c>
      <c r="B198" t="inlineStr">
        <is>
          <t>PG3365 .A6</t>
        </is>
      </c>
      <c r="C198" t="inlineStr">
        <is>
          <t>0                      PG 3365000A  6</t>
        </is>
      </c>
      <c r="D198" t="inlineStr">
        <is>
          <t>Anna Karenina : roman / L. N. Tolstoĭ.</t>
        </is>
      </c>
      <c r="E198" t="inlineStr">
        <is>
          <t>V.2</t>
        </is>
      </c>
      <c r="F198" t="inlineStr">
        <is>
          <t>Yes</t>
        </is>
      </c>
      <c r="G198" t="inlineStr">
        <is>
          <t>1</t>
        </is>
      </c>
      <c r="H198" t="inlineStr">
        <is>
          <t>No</t>
        </is>
      </c>
      <c r="I198" t="inlineStr">
        <is>
          <t>No</t>
        </is>
      </c>
      <c r="J198" t="inlineStr">
        <is>
          <t>0</t>
        </is>
      </c>
      <c r="K198" t="inlineStr">
        <is>
          <t>Tolstoy, Leo, graf, 1828-1910.</t>
        </is>
      </c>
      <c r="L198" t="inlineStr">
        <is>
          <t>Moskva : Gos. izd-vo khudozh. lit-ry, 1959.</t>
        </is>
      </c>
      <c r="M198" t="inlineStr">
        <is>
          <t>1959</t>
        </is>
      </c>
      <c r="O198" t="inlineStr">
        <is>
          <t>rus</t>
        </is>
      </c>
      <c r="P198" t="inlineStr">
        <is>
          <t xml:space="preserve">ru </t>
        </is>
      </c>
      <c r="R198" t="inlineStr">
        <is>
          <t xml:space="preserve">PG </t>
        </is>
      </c>
      <c r="S198" t="n">
        <v>5</v>
      </c>
      <c r="T198" t="n">
        <v>10</v>
      </c>
      <c r="U198" t="inlineStr">
        <is>
          <t>2001-08-25</t>
        </is>
      </c>
      <c r="V198" t="inlineStr">
        <is>
          <t>2001-08-25</t>
        </is>
      </c>
      <c r="W198" t="inlineStr">
        <is>
          <t>1995-03-02</t>
        </is>
      </c>
      <c r="X198" t="inlineStr">
        <is>
          <t>1995-03-02</t>
        </is>
      </c>
      <c r="Y198" t="n">
        <v>20</v>
      </c>
      <c r="Z198" t="n">
        <v>17</v>
      </c>
      <c r="AA198" t="n">
        <v>452</v>
      </c>
      <c r="AB198" t="n">
        <v>1</v>
      </c>
      <c r="AC198" t="n">
        <v>3</v>
      </c>
      <c r="AD198" t="n">
        <v>1</v>
      </c>
      <c r="AE198" t="n">
        <v>15</v>
      </c>
      <c r="AF198" t="n">
        <v>0</v>
      </c>
      <c r="AG198" t="n">
        <v>5</v>
      </c>
      <c r="AH198" t="n">
        <v>1</v>
      </c>
      <c r="AI198" t="n">
        <v>5</v>
      </c>
      <c r="AJ198" t="n">
        <v>1</v>
      </c>
      <c r="AK198" t="n">
        <v>9</v>
      </c>
      <c r="AL198" t="n">
        <v>0</v>
      </c>
      <c r="AM198" t="n">
        <v>1</v>
      </c>
      <c r="AN198" t="n">
        <v>0</v>
      </c>
      <c r="AO198" t="n">
        <v>0</v>
      </c>
      <c r="AP198" t="inlineStr">
        <is>
          <t>No</t>
        </is>
      </c>
      <c r="AQ198" t="inlineStr">
        <is>
          <t>No</t>
        </is>
      </c>
      <c r="AS198">
        <f>HYPERLINK("https://creighton-primo.hosted.exlibrisgroup.com/primo-explore/search?tab=default_tab&amp;search_scope=EVERYTHING&amp;vid=01CRU&amp;lang=en_US&amp;offset=0&amp;query=any,contains,991000748679702656","Catalog Record")</f>
        <v/>
      </c>
      <c r="AT198">
        <f>HYPERLINK("http://www.worldcat.org/oclc/12895600","WorldCat Record")</f>
        <v/>
      </c>
      <c r="AU198" t="inlineStr">
        <is>
          <t>509824227:rus</t>
        </is>
      </c>
      <c r="AV198" t="inlineStr">
        <is>
          <t>12895600</t>
        </is>
      </c>
      <c r="AW198" t="inlineStr">
        <is>
          <t>991000748679702656</t>
        </is>
      </c>
      <c r="AX198" t="inlineStr">
        <is>
          <t>991000748679702656</t>
        </is>
      </c>
      <c r="AY198" t="inlineStr">
        <is>
          <t>2264602550002656</t>
        </is>
      </c>
      <c r="AZ198" t="inlineStr">
        <is>
          <t>BOOK</t>
        </is>
      </c>
      <c r="BC198" t="inlineStr">
        <is>
          <t>32285002011269</t>
        </is>
      </c>
      <c r="BD198" t="inlineStr">
        <is>
          <t>893784501</t>
        </is>
      </c>
    </row>
    <row r="199">
      <c r="A199" t="inlineStr">
        <is>
          <t>No</t>
        </is>
      </c>
      <c r="B199" t="inlineStr">
        <is>
          <t>PG3365.A63 T48 1987</t>
        </is>
      </c>
      <c r="C199" t="inlineStr">
        <is>
          <t>0                      PG 3365000A  63                 T  48          1987</t>
        </is>
      </c>
      <c r="D199" t="inlineStr">
        <is>
          <t>Leo Tolstoy, Anna Karenina / Anthony Thorlby.</t>
        </is>
      </c>
      <c r="F199" t="inlineStr">
        <is>
          <t>No</t>
        </is>
      </c>
      <c r="G199" t="inlineStr">
        <is>
          <t>1</t>
        </is>
      </c>
      <c r="H199" t="inlineStr">
        <is>
          <t>No</t>
        </is>
      </c>
      <c r="I199" t="inlineStr">
        <is>
          <t>No</t>
        </is>
      </c>
      <c r="J199" t="inlineStr">
        <is>
          <t>0</t>
        </is>
      </c>
      <c r="K199" t="inlineStr">
        <is>
          <t>Thorlby, Anthony.</t>
        </is>
      </c>
      <c r="L199" t="inlineStr">
        <is>
          <t>Cambridge [Cambridgeshire] ; New York : Cambridge University Press, 1987.</t>
        </is>
      </c>
      <c r="M199" t="inlineStr">
        <is>
          <t>1987</t>
        </is>
      </c>
      <c r="O199" t="inlineStr">
        <is>
          <t>eng</t>
        </is>
      </c>
      <c r="P199" t="inlineStr">
        <is>
          <t>enk</t>
        </is>
      </c>
      <c r="Q199" t="inlineStr">
        <is>
          <t>Landmarks of world literature</t>
        </is>
      </c>
      <c r="R199" t="inlineStr">
        <is>
          <t xml:space="preserve">PG </t>
        </is>
      </c>
      <c r="S199" t="n">
        <v>1</v>
      </c>
      <c r="T199" t="n">
        <v>1</v>
      </c>
      <c r="U199" t="inlineStr">
        <is>
          <t>2007-12-06</t>
        </is>
      </c>
      <c r="V199" t="inlineStr">
        <is>
          <t>2007-12-06</t>
        </is>
      </c>
      <c r="W199" t="inlineStr">
        <is>
          <t>1993-06-07</t>
        </is>
      </c>
      <c r="X199" t="inlineStr">
        <is>
          <t>1993-06-07</t>
        </is>
      </c>
      <c r="Y199" t="n">
        <v>501</v>
      </c>
      <c r="Z199" t="n">
        <v>359</v>
      </c>
      <c r="AA199" t="n">
        <v>376</v>
      </c>
      <c r="AB199" t="n">
        <v>4</v>
      </c>
      <c r="AC199" t="n">
        <v>4</v>
      </c>
      <c r="AD199" t="n">
        <v>20</v>
      </c>
      <c r="AE199" t="n">
        <v>21</v>
      </c>
      <c r="AF199" t="n">
        <v>5</v>
      </c>
      <c r="AG199" t="n">
        <v>6</v>
      </c>
      <c r="AH199" t="n">
        <v>5</v>
      </c>
      <c r="AI199" t="n">
        <v>5</v>
      </c>
      <c r="AJ199" t="n">
        <v>11</v>
      </c>
      <c r="AK199" t="n">
        <v>11</v>
      </c>
      <c r="AL199" t="n">
        <v>3</v>
      </c>
      <c r="AM199" t="n">
        <v>3</v>
      </c>
      <c r="AN199" t="n">
        <v>0</v>
      </c>
      <c r="AO199" t="n">
        <v>0</v>
      </c>
      <c r="AP199" t="inlineStr">
        <is>
          <t>No</t>
        </is>
      </c>
      <c r="AQ199" t="inlineStr">
        <is>
          <t>No</t>
        </is>
      </c>
      <c r="AS199">
        <f>HYPERLINK("https://creighton-primo.hosted.exlibrisgroup.com/primo-explore/search?tab=default_tab&amp;search_scope=EVERYTHING&amp;vid=01CRU&amp;lang=en_US&amp;offset=0&amp;query=any,contains,991001188009702656","Catalog Record")</f>
        <v/>
      </c>
      <c r="AT199">
        <f>HYPERLINK("http://www.worldcat.org/oclc/17231762","WorldCat Record")</f>
        <v/>
      </c>
      <c r="AU199" t="inlineStr">
        <is>
          <t>15935622:eng</t>
        </is>
      </c>
      <c r="AV199" t="inlineStr">
        <is>
          <t>17231762</t>
        </is>
      </c>
      <c r="AW199" t="inlineStr">
        <is>
          <t>991001188009702656</t>
        </is>
      </c>
      <c r="AX199" t="inlineStr">
        <is>
          <t>991001188009702656</t>
        </is>
      </c>
      <c r="AY199" t="inlineStr">
        <is>
          <t>2271412330002656</t>
        </is>
      </c>
      <c r="AZ199" t="inlineStr">
        <is>
          <t>BOOK</t>
        </is>
      </c>
      <c r="BB199" t="inlineStr">
        <is>
          <t>9780521313254</t>
        </is>
      </c>
      <c r="BC199" t="inlineStr">
        <is>
          <t>32285001584647</t>
        </is>
      </c>
      <c r="BD199" t="inlineStr">
        <is>
          <t>893878704</t>
        </is>
      </c>
    </row>
    <row r="200">
      <c r="A200" t="inlineStr">
        <is>
          <t>No</t>
        </is>
      </c>
      <c r="B200" t="inlineStr">
        <is>
          <t>PG3365.V65 C57 1998</t>
        </is>
      </c>
      <c r="C200" t="inlineStr">
        <is>
          <t>0                      PG 3365000V  65                 C  57          1998</t>
        </is>
      </c>
      <c r="D200" t="inlineStr">
        <is>
          <t>Tolstoy's Phoenix : from method to meaning in War and Peace / George R. Clay.</t>
        </is>
      </c>
      <c r="F200" t="inlineStr">
        <is>
          <t>No</t>
        </is>
      </c>
      <c r="G200" t="inlineStr">
        <is>
          <t>1</t>
        </is>
      </c>
      <c r="H200" t="inlineStr">
        <is>
          <t>No</t>
        </is>
      </c>
      <c r="I200" t="inlineStr">
        <is>
          <t>No</t>
        </is>
      </c>
      <c r="J200" t="inlineStr">
        <is>
          <t>0</t>
        </is>
      </c>
      <c r="K200" t="inlineStr">
        <is>
          <t>Clay, George R.</t>
        </is>
      </c>
      <c r="L200" t="inlineStr">
        <is>
          <t>Evanston, Ill. : Northwestern University Press, 1998.</t>
        </is>
      </c>
      <c r="M200" t="inlineStr">
        <is>
          <t>1998</t>
        </is>
      </c>
      <c r="O200" t="inlineStr">
        <is>
          <t>eng</t>
        </is>
      </c>
      <c r="P200" t="inlineStr">
        <is>
          <t>ilu</t>
        </is>
      </c>
      <c r="Q200" t="inlineStr">
        <is>
          <t>Northwestern University Press studies in Russian literature and theory</t>
        </is>
      </c>
      <c r="R200" t="inlineStr">
        <is>
          <t xml:space="preserve">PG </t>
        </is>
      </c>
      <c r="S200" t="n">
        <v>3</v>
      </c>
      <c r="T200" t="n">
        <v>3</v>
      </c>
      <c r="U200" t="inlineStr">
        <is>
          <t>2000-04-07</t>
        </is>
      </c>
      <c r="V200" t="inlineStr">
        <is>
          <t>2000-04-07</t>
        </is>
      </c>
      <c r="W200" t="inlineStr">
        <is>
          <t>1999-09-08</t>
        </is>
      </c>
      <c r="X200" t="inlineStr">
        <is>
          <t>1999-09-08</t>
        </is>
      </c>
      <c r="Y200" t="n">
        <v>415</v>
      </c>
      <c r="Z200" t="n">
        <v>360</v>
      </c>
      <c r="AA200" t="n">
        <v>422</v>
      </c>
      <c r="AB200" t="n">
        <v>1</v>
      </c>
      <c r="AC200" t="n">
        <v>2</v>
      </c>
      <c r="AD200" t="n">
        <v>24</v>
      </c>
      <c r="AE200" t="n">
        <v>29</v>
      </c>
      <c r="AF200" t="n">
        <v>10</v>
      </c>
      <c r="AG200" t="n">
        <v>13</v>
      </c>
      <c r="AH200" t="n">
        <v>4</v>
      </c>
      <c r="AI200" t="n">
        <v>5</v>
      </c>
      <c r="AJ200" t="n">
        <v>15</v>
      </c>
      <c r="AK200" t="n">
        <v>16</v>
      </c>
      <c r="AL200" t="n">
        <v>0</v>
      </c>
      <c r="AM200" t="n">
        <v>1</v>
      </c>
      <c r="AN200" t="n">
        <v>0</v>
      </c>
      <c r="AO200" t="n">
        <v>0</v>
      </c>
      <c r="AP200" t="inlineStr">
        <is>
          <t>No</t>
        </is>
      </c>
      <c r="AQ200" t="inlineStr">
        <is>
          <t>Yes</t>
        </is>
      </c>
      <c r="AR200">
        <f>HYPERLINK("http://catalog.hathitrust.org/Record/004010953","HathiTrust Record")</f>
        <v/>
      </c>
      <c r="AS200">
        <f>HYPERLINK("https://creighton-primo.hosted.exlibrisgroup.com/primo-explore/search?tab=default_tab&amp;search_scope=EVERYTHING&amp;vid=01CRU&amp;lang=en_US&amp;offset=0&amp;query=any,contains,991002959549702656","Catalog Record")</f>
        <v/>
      </c>
      <c r="AT200">
        <f>HYPERLINK("http://www.worldcat.org/oclc/39539216","WorldCat Record")</f>
        <v/>
      </c>
      <c r="AU200" t="inlineStr">
        <is>
          <t>436523828:eng</t>
        </is>
      </c>
      <c r="AV200" t="inlineStr">
        <is>
          <t>39539216</t>
        </is>
      </c>
      <c r="AW200" t="inlineStr">
        <is>
          <t>991002959549702656</t>
        </is>
      </c>
      <c r="AX200" t="inlineStr">
        <is>
          <t>991002959549702656</t>
        </is>
      </c>
      <c r="AY200" t="inlineStr">
        <is>
          <t>2260022880002656</t>
        </is>
      </c>
      <c r="AZ200" t="inlineStr">
        <is>
          <t>BOOK</t>
        </is>
      </c>
      <c r="BB200" t="inlineStr">
        <is>
          <t>9780810116214</t>
        </is>
      </c>
      <c r="BC200" t="inlineStr">
        <is>
          <t>32285003586814</t>
        </is>
      </c>
      <c r="BD200" t="inlineStr">
        <is>
          <t>893524257</t>
        </is>
      </c>
    </row>
    <row r="201">
      <c r="A201" t="inlineStr">
        <is>
          <t>No</t>
        </is>
      </c>
      <c r="B201" t="inlineStr">
        <is>
          <t>PG3365.V65 G8</t>
        </is>
      </c>
      <c r="C201" t="inlineStr">
        <is>
          <t>0                      PG 3365000V  65                 G  8</t>
        </is>
      </c>
      <c r="D201" t="inlineStr">
        <is>
          <t>A daring coiffeur; reflections on War and peace and Anna Karenina.</t>
        </is>
      </c>
      <c r="F201" t="inlineStr">
        <is>
          <t>No</t>
        </is>
      </c>
      <c r="G201" t="inlineStr">
        <is>
          <t>1</t>
        </is>
      </c>
      <c r="H201" t="inlineStr">
        <is>
          <t>No</t>
        </is>
      </c>
      <c r="I201" t="inlineStr">
        <is>
          <t>No</t>
        </is>
      </c>
      <c r="J201" t="inlineStr">
        <is>
          <t>0</t>
        </is>
      </c>
      <c r="K201" t="inlineStr">
        <is>
          <t>Gunn, Elizabeth.</t>
        </is>
      </c>
      <c r="L201" t="inlineStr">
        <is>
          <t>Totowa, N.J., Rowman and Littlefield [1971]</t>
        </is>
      </c>
      <c r="M201" t="inlineStr">
        <is>
          <t>1971</t>
        </is>
      </c>
      <c r="O201" t="inlineStr">
        <is>
          <t>eng</t>
        </is>
      </c>
      <c r="P201" t="inlineStr">
        <is>
          <t>nju</t>
        </is>
      </c>
      <c r="R201" t="inlineStr">
        <is>
          <t xml:space="preserve">PG </t>
        </is>
      </c>
      <c r="S201" t="n">
        <v>3</v>
      </c>
      <c r="T201" t="n">
        <v>3</v>
      </c>
      <c r="U201" t="inlineStr">
        <is>
          <t>1998-10-19</t>
        </is>
      </c>
      <c r="V201" t="inlineStr">
        <is>
          <t>1998-10-19</t>
        </is>
      </c>
      <c r="W201" t="inlineStr">
        <is>
          <t>1997-09-08</t>
        </is>
      </c>
      <c r="X201" t="inlineStr">
        <is>
          <t>1997-09-08</t>
        </is>
      </c>
      <c r="Y201" t="n">
        <v>251</v>
      </c>
      <c r="Z201" t="n">
        <v>234</v>
      </c>
      <c r="AA201" t="n">
        <v>305</v>
      </c>
      <c r="AB201" t="n">
        <v>2</v>
      </c>
      <c r="AC201" t="n">
        <v>2</v>
      </c>
      <c r="AD201" t="n">
        <v>13</v>
      </c>
      <c r="AE201" t="n">
        <v>17</v>
      </c>
      <c r="AF201" t="n">
        <v>3</v>
      </c>
      <c r="AG201" t="n">
        <v>5</v>
      </c>
      <c r="AH201" t="n">
        <v>3</v>
      </c>
      <c r="AI201" t="n">
        <v>5</v>
      </c>
      <c r="AJ201" t="n">
        <v>8</v>
      </c>
      <c r="AK201" t="n">
        <v>11</v>
      </c>
      <c r="AL201" t="n">
        <v>1</v>
      </c>
      <c r="AM201" t="n">
        <v>1</v>
      </c>
      <c r="AN201" t="n">
        <v>0</v>
      </c>
      <c r="AO201" t="n">
        <v>0</v>
      </c>
      <c r="AP201" t="inlineStr">
        <is>
          <t>No</t>
        </is>
      </c>
      <c r="AQ201" t="inlineStr">
        <is>
          <t>Yes</t>
        </is>
      </c>
      <c r="AR201">
        <f>HYPERLINK("http://catalog.hathitrust.org/Record/007113041","HathiTrust Record")</f>
        <v/>
      </c>
      <c r="AS201">
        <f>HYPERLINK("https://creighton-primo.hosted.exlibrisgroup.com/primo-explore/search?tab=default_tab&amp;search_scope=EVERYTHING&amp;vid=01CRU&amp;lang=en_US&amp;offset=0&amp;query=any,contains,991001230109702656","Catalog Record")</f>
        <v/>
      </c>
      <c r="AT201">
        <f>HYPERLINK("http://www.worldcat.org/oclc/202830","WorldCat Record")</f>
        <v/>
      </c>
      <c r="AU201" t="inlineStr">
        <is>
          <t>868694224:eng</t>
        </is>
      </c>
      <c r="AV201" t="inlineStr">
        <is>
          <t>202830</t>
        </is>
      </c>
      <c r="AW201" t="inlineStr">
        <is>
          <t>991001230109702656</t>
        </is>
      </c>
      <c r="AX201" t="inlineStr">
        <is>
          <t>991001230109702656</t>
        </is>
      </c>
      <c r="AY201" t="inlineStr">
        <is>
          <t>2258738620002656</t>
        </is>
      </c>
      <c r="AZ201" t="inlineStr">
        <is>
          <t>BOOK</t>
        </is>
      </c>
      <c r="BC201" t="inlineStr">
        <is>
          <t>32285003199204</t>
        </is>
      </c>
      <c r="BD201" t="inlineStr">
        <is>
          <t>893522405</t>
        </is>
      </c>
    </row>
    <row r="202">
      <c r="A202" t="inlineStr">
        <is>
          <t>No</t>
        </is>
      </c>
      <c r="B202" t="inlineStr">
        <is>
          <t>PG3365.V65 J46</t>
        </is>
      </c>
      <c r="C202" t="inlineStr">
        <is>
          <t>0                      PG 3365000V  65                 J  46</t>
        </is>
      </c>
      <c r="D202" t="inlineStr">
        <is>
          <t>From Achilles to Christ : the myth of the hero in Tolstoy's War and peace / by Laura Jepsen.</t>
        </is>
      </c>
      <c r="F202" t="inlineStr">
        <is>
          <t>No</t>
        </is>
      </c>
      <c r="G202" t="inlineStr">
        <is>
          <t>1</t>
        </is>
      </c>
      <c r="H202" t="inlineStr">
        <is>
          <t>No</t>
        </is>
      </c>
      <c r="I202" t="inlineStr">
        <is>
          <t>No</t>
        </is>
      </c>
      <c r="J202" t="inlineStr">
        <is>
          <t>0</t>
        </is>
      </c>
      <c r="K202" t="inlineStr">
        <is>
          <t>Jepsen, Laura.</t>
        </is>
      </c>
      <c r="L202" t="inlineStr">
        <is>
          <t>[Tallahassee] : Jepsen, c1978.</t>
        </is>
      </c>
      <c r="M202" t="inlineStr">
        <is>
          <t>1978</t>
        </is>
      </c>
      <c r="O202" t="inlineStr">
        <is>
          <t>eng</t>
        </is>
      </c>
      <c r="P202" t="inlineStr">
        <is>
          <t>flu</t>
        </is>
      </c>
      <c r="R202" t="inlineStr">
        <is>
          <t xml:space="preserve">PG </t>
        </is>
      </c>
      <c r="S202" t="n">
        <v>3</v>
      </c>
      <c r="T202" t="n">
        <v>3</v>
      </c>
      <c r="U202" t="inlineStr">
        <is>
          <t>2005-07-29</t>
        </is>
      </c>
      <c r="V202" t="inlineStr">
        <is>
          <t>2005-07-29</t>
        </is>
      </c>
      <c r="W202" t="inlineStr">
        <is>
          <t>1993-04-28</t>
        </is>
      </c>
      <c r="X202" t="inlineStr">
        <is>
          <t>1993-04-28</t>
        </is>
      </c>
      <c r="Y202" t="n">
        <v>790</v>
      </c>
      <c r="Z202" t="n">
        <v>732</v>
      </c>
      <c r="AA202" t="n">
        <v>744</v>
      </c>
      <c r="AB202" t="n">
        <v>6</v>
      </c>
      <c r="AC202" t="n">
        <v>6</v>
      </c>
      <c r="AD202" t="n">
        <v>38</v>
      </c>
      <c r="AE202" t="n">
        <v>38</v>
      </c>
      <c r="AF202" t="n">
        <v>17</v>
      </c>
      <c r="AG202" t="n">
        <v>17</v>
      </c>
      <c r="AH202" t="n">
        <v>8</v>
      </c>
      <c r="AI202" t="n">
        <v>8</v>
      </c>
      <c r="AJ202" t="n">
        <v>16</v>
      </c>
      <c r="AK202" t="n">
        <v>16</v>
      </c>
      <c r="AL202" t="n">
        <v>5</v>
      </c>
      <c r="AM202" t="n">
        <v>5</v>
      </c>
      <c r="AN202" t="n">
        <v>0</v>
      </c>
      <c r="AO202" t="n">
        <v>0</v>
      </c>
      <c r="AP202" t="inlineStr">
        <is>
          <t>No</t>
        </is>
      </c>
      <c r="AQ202" t="inlineStr">
        <is>
          <t>Yes</t>
        </is>
      </c>
      <c r="AR202">
        <f>HYPERLINK("http://catalog.hathitrust.org/Record/000695283","HathiTrust Record")</f>
        <v/>
      </c>
      <c r="AS202">
        <f>HYPERLINK("https://creighton-primo.hosted.exlibrisgroup.com/primo-explore/search?tab=default_tab&amp;search_scope=EVERYTHING&amp;vid=01CRU&amp;lang=en_US&amp;offset=0&amp;query=any,contains,991004674019702656","Catalog Record")</f>
        <v/>
      </c>
      <c r="AT202">
        <f>HYPERLINK("http://www.worldcat.org/oclc/4526795","WorldCat Record")</f>
        <v/>
      </c>
      <c r="AU202" t="inlineStr">
        <is>
          <t>304556465:eng</t>
        </is>
      </c>
      <c r="AV202" t="inlineStr">
        <is>
          <t>4526795</t>
        </is>
      </c>
      <c r="AW202" t="inlineStr">
        <is>
          <t>991004674019702656</t>
        </is>
      </c>
      <c r="AX202" t="inlineStr">
        <is>
          <t>991004674019702656</t>
        </is>
      </c>
      <c r="AY202" t="inlineStr">
        <is>
          <t>2271825430002656</t>
        </is>
      </c>
      <c r="AZ202" t="inlineStr">
        <is>
          <t>BOOK</t>
        </is>
      </c>
      <c r="BB202" t="inlineStr">
        <is>
          <t>9780960208210</t>
        </is>
      </c>
      <c r="BC202" t="inlineStr">
        <is>
          <t>32285001649242</t>
        </is>
      </c>
      <c r="BD202" t="inlineStr">
        <is>
          <t>893688005</t>
        </is>
      </c>
    </row>
    <row r="203">
      <c r="A203" t="inlineStr">
        <is>
          <t>No</t>
        </is>
      </c>
      <c r="B203" t="inlineStr">
        <is>
          <t>PG3366 .A17 1987</t>
        </is>
      </c>
      <c r="C203" t="inlineStr">
        <is>
          <t>0                      PG 3366000A  17          1987</t>
        </is>
      </c>
      <c r="D203" t="inlineStr">
        <is>
          <t>A confession and other religious writings / Leo Tolstoy ; translated with an introduction by Jane Kentish.</t>
        </is>
      </c>
      <c r="F203" t="inlineStr">
        <is>
          <t>No</t>
        </is>
      </c>
      <c r="G203" t="inlineStr">
        <is>
          <t>1</t>
        </is>
      </c>
      <c r="H203" t="inlineStr">
        <is>
          <t>No</t>
        </is>
      </c>
      <c r="I203" t="inlineStr">
        <is>
          <t>No</t>
        </is>
      </c>
      <c r="J203" t="inlineStr">
        <is>
          <t>0</t>
        </is>
      </c>
      <c r="K203" t="inlineStr">
        <is>
          <t>Tolstoy, Leo, graf, 1828-1910.</t>
        </is>
      </c>
      <c r="L203" t="inlineStr">
        <is>
          <t>Harmondsworth, Middlesex, England ; New York, N.Y., U.S.A. : Penguin Books, 1987.</t>
        </is>
      </c>
      <c r="M203" t="inlineStr">
        <is>
          <t>1987</t>
        </is>
      </c>
      <c r="O203" t="inlineStr">
        <is>
          <t>eng</t>
        </is>
      </c>
      <c r="P203" t="inlineStr">
        <is>
          <t>enk</t>
        </is>
      </c>
      <c r="Q203" t="inlineStr">
        <is>
          <t>Penguin classics</t>
        </is>
      </c>
      <c r="R203" t="inlineStr">
        <is>
          <t xml:space="preserve">PG </t>
        </is>
      </c>
      <c r="S203" t="n">
        <v>11</v>
      </c>
      <c r="T203" t="n">
        <v>11</v>
      </c>
      <c r="U203" t="inlineStr">
        <is>
          <t>2006-09-07</t>
        </is>
      </c>
      <c r="V203" t="inlineStr">
        <is>
          <t>2006-09-07</t>
        </is>
      </c>
      <c r="W203" t="inlineStr">
        <is>
          <t>1991-11-04</t>
        </is>
      </c>
      <c r="X203" t="inlineStr">
        <is>
          <t>1991-11-04</t>
        </is>
      </c>
      <c r="Y203" t="n">
        <v>374</v>
      </c>
      <c r="Z203" t="n">
        <v>286</v>
      </c>
      <c r="AA203" t="n">
        <v>305</v>
      </c>
      <c r="AB203" t="n">
        <v>2</v>
      </c>
      <c r="AC203" t="n">
        <v>2</v>
      </c>
      <c r="AD203" t="n">
        <v>8</v>
      </c>
      <c r="AE203" t="n">
        <v>8</v>
      </c>
      <c r="AF203" t="n">
        <v>1</v>
      </c>
      <c r="AG203" t="n">
        <v>1</v>
      </c>
      <c r="AH203" t="n">
        <v>1</v>
      </c>
      <c r="AI203" t="n">
        <v>1</v>
      </c>
      <c r="AJ203" t="n">
        <v>8</v>
      </c>
      <c r="AK203" t="n">
        <v>8</v>
      </c>
      <c r="AL203" t="n">
        <v>0</v>
      </c>
      <c r="AM203" t="n">
        <v>0</v>
      </c>
      <c r="AN203" t="n">
        <v>0</v>
      </c>
      <c r="AO203" t="n">
        <v>0</v>
      </c>
      <c r="AP203" t="inlineStr">
        <is>
          <t>No</t>
        </is>
      </c>
      <c r="AQ203" t="inlineStr">
        <is>
          <t>Yes</t>
        </is>
      </c>
      <c r="AR203">
        <f>HYPERLINK("http://catalog.hathitrust.org/Record/000843027","HathiTrust Record")</f>
        <v/>
      </c>
      <c r="AS203">
        <f>HYPERLINK("https://creighton-primo.hosted.exlibrisgroup.com/primo-explore/search?tab=default_tab&amp;search_scope=EVERYTHING&amp;vid=01CRU&amp;lang=en_US&amp;offset=0&amp;query=any,contains,991001187029702656","Catalog Record")</f>
        <v/>
      </c>
      <c r="AT203">
        <f>HYPERLINK("http://www.worldcat.org/oclc/17217493","WorldCat Record")</f>
        <v/>
      </c>
      <c r="AU203" t="inlineStr">
        <is>
          <t>14575420:eng</t>
        </is>
      </c>
      <c r="AV203" t="inlineStr">
        <is>
          <t>17217493</t>
        </is>
      </c>
      <c r="AW203" t="inlineStr">
        <is>
          <t>991001187029702656</t>
        </is>
      </c>
      <c r="AX203" t="inlineStr">
        <is>
          <t>991001187029702656</t>
        </is>
      </c>
      <c r="AY203" t="inlineStr">
        <is>
          <t>2259323080002656</t>
        </is>
      </c>
      <c r="AZ203" t="inlineStr">
        <is>
          <t>BOOK</t>
        </is>
      </c>
      <c r="BB203" t="inlineStr">
        <is>
          <t>9780140444735</t>
        </is>
      </c>
      <c r="BC203" t="inlineStr">
        <is>
          <t>32285000729441</t>
        </is>
      </c>
      <c r="BD203" t="inlineStr">
        <is>
          <t>893903326</t>
        </is>
      </c>
    </row>
    <row r="204">
      <c r="A204" t="inlineStr">
        <is>
          <t>No</t>
        </is>
      </c>
      <c r="B204" t="inlineStr">
        <is>
          <t>PG3366.A15 R8</t>
        </is>
      </c>
      <c r="C204" t="inlineStr">
        <is>
          <t>0                      PG 3366000A  15                 R  8</t>
        </is>
      </c>
      <c r="D204" t="inlineStr">
        <is>
          <t>Short stories / Lev Tolstoy ; [illustrated by Mikhail Rudakov].</t>
        </is>
      </c>
      <c r="F204" t="inlineStr">
        <is>
          <t>No</t>
        </is>
      </c>
      <c r="G204" t="inlineStr">
        <is>
          <t>1</t>
        </is>
      </c>
      <c r="H204" t="inlineStr">
        <is>
          <t>No</t>
        </is>
      </c>
      <c r="I204" t="inlineStr">
        <is>
          <t>No</t>
        </is>
      </c>
      <c r="J204" t="inlineStr">
        <is>
          <t>0</t>
        </is>
      </c>
      <c r="K204" t="inlineStr">
        <is>
          <t>Tolstoy, Leo, graf, 1828-1910.</t>
        </is>
      </c>
      <c r="L204" t="inlineStr">
        <is>
          <t>Moscow : Progress Publishers, 1975.</t>
        </is>
      </c>
      <c r="M204" t="inlineStr">
        <is>
          <t>1975</t>
        </is>
      </c>
      <c r="O204" t="inlineStr">
        <is>
          <t>eng</t>
        </is>
      </c>
      <c r="P204" t="inlineStr">
        <is>
          <t>rur</t>
        </is>
      </c>
      <c r="Q204" t="inlineStr">
        <is>
          <t>Russian classics series</t>
        </is>
      </c>
      <c r="R204" t="inlineStr">
        <is>
          <t xml:space="preserve">PG </t>
        </is>
      </c>
      <c r="S204" t="n">
        <v>9</v>
      </c>
      <c r="T204" t="n">
        <v>9</v>
      </c>
      <c r="U204" t="inlineStr">
        <is>
          <t>2005-12-03</t>
        </is>
      </c>
      <c r="V204" t="inlineStr">
        <is>
          <t>2005-12-03</t>
        </is>
      </c>
      <c r="W204" t="inlineStr">
        <is>
          <t>1992-02-11</t>
        </is>
      </c>
      <c r="X204" t="inlineStr">
        <is>
          <t>1992-02-11</t>
        </is>
      </c>
      <c r="Y204" t="n">
        <v>41</v>
      </c>
      <c r="Z204" t="n">
        <v>34</v>
      </c>
      <c r="AA204" t="n">
        <v>266</v>
      </c>
      <c r="AB204" t="n">
        <v>1</v>
      </c>
      <c r="AC204" t="n">
        <v>3</v>
      </c>
      <c r="AD204" t="n">
        <v>0</v>
      </c>
      <c r="AE204" t="n">
        <v>9</v>
      </c>
      <c r="AF204" t="n">
        <v>0</v>
      </c>
      <c r="AG204" t="n">
        <v>4</v>
      </c>
      <c r="AH204" t="n">
        <v>0</v>
      </c>
      <c r="AI204" t="n">
        <v>1</v>
      </c>
      <c r="AJ204" t="n">
        <v>0</v>
      </c>
      <c r="AK204" t="n">
        <v>4</v>
      </c>
      <c r="AL204" t="n">
        <v>0</v>
      </c>
      <c r="AM204" t="n">
        <v>1</v>
      </c>
      <c r="AN204" t="n">
        <v>0</v>
      </c>
      <c r="AO204" t="n">
        <v>0</v>
      </c>
      <c r="AP204" t="inlineStr">
        <is>
          <t>No</t>
        </is>
      </c>
      <c r="AQ204" t="inlineStr">
        <is>
          <t>No</t>
        </is>
      </c>
      <c r="AS204">
        <f>HYPERLINK("https://creighton-primo.hosted.exlibrisgroup.com/primo-explore/search?tab=default_tab&amp;search_scope=EVERYTHING&amp;vid=01CRU&amp;lang=en_US&amp;offset=0&amp;query=any,contains,991004278619702656","Catalog Record")</f>
        <v/>
      </c>
      <c r="AT204">
        <f>HYPERLINK("http://www.worldcat.org/oclc/2899993","WorldCat Record")</f>
        <v/>
      </c>
      <c r="AU204" t="inlineStr">
        <is>
          <t>4417263541:eng</t>
        </is>
      </c>
      <c r="AV204" t="inlineStr">
        <is>
          <t>2899993</t>
        </is>
      </c>
      <c r="AW204" t="inlineStr">
        <is>
          <t>991004278619702656</t>
        </is>
      </c>
      <c r="AX204" t="inlineStr">
        <is>
          <t>991004278619702656</t>
        </is>
      </c>
      <c r="AY204" t="inlineStr">
        <is>
          <t>2257538140002656</t>
        </is>
      </c>
      <c r="AZ204" t="inlineStr">
        <is>
          <t>BOOK</t>
        </is>
      </c>
      <c r="BC204" t="inlineStr">
        <is>
          <t>32285000970193</t>
        </is>
      </c>
      <c r="BD204" t="inlineStr">
        <is>
          <t>893353314</t>
        </is>
      </c>
    </row>
    <row r="205">
      <c r="A205" t="inlineStr">
        <is>
          <t>No</t>
        </is>
      </c>
      <c r="B205" t="inlineStr">
        <is>
          <t>PG3377.E5 C48 1985</t>
        </is>
      </c>
      <c r="C205" t="inlineStr">
        <is>
          <t>0                      PG 3377000E  5                  C  48          1985</t>
        </is>
      </c>
      <c r="D205" t="inlineStr">
        <is>
          <t>Tolstoy's diaries / edited and translated by R.F. Christian.</t>
        </is>
      </c>
      <c r="E205" t="inlineStr">
        <is>
          <t>V.2</t>
        </is>
      </c>
      <c r="F205" t="inlineStr">
        <is>
          <t>Yes</t>
        </is>
      </c>
      <c r="G205" t="inlineStr">
        <is>
          <t>1</t>
        </is>
      </c>
      <c r="H205" t="inlineStr">
        <is>
          <t>No</t>
        </is>
      </c>
      <c r="I205" t="inlineStr">
        <is>
          <t>No</t>
        </is>
      </c>
      <c r="J205" t="inlineStr">
        <is>
          <t>0</t>
        </is>
      </c>
      <c r="K205" t="inlineStr">
        <is>
          <t>Tolstoy, Leo, graf, 1828-1910.</t>
        </is>
      </c>
      <c r="L205" t="inlineStr">
        <is>
          <t>New York : Scribner Press, 1985.</t>
        </is>
      </c>
      <c r="M205" t="inlineStr">
        <is>
          <t>1985</t>
        </is>
      </c>
      <c r="O205" t="inlineStr">
        <is>
          <t>eng</t>
        </is>
      </c>
      <c r="P205" t="inlineStr">
        <is>
          <t>nyu</t>
        </is>
      </c>
      <c r="R205" t="inlineStr">
        <is>
          <t xml:space="preserve">PG </t>
        </is>
      </c>
      <c r="S205" t="n">
        <v>3</v>
      </c>
      <c r="T205" t="n">
        <v>6</v>
      </c>
      <c r="U205" t="inlineStr">
        <is>
          <t>1998-10-19</t>
        </is>
      </c>
      <c r="V205" t="inlineStr">
        <is>
          <t>1998-10-19</t>
        </is>
      </c>
      <c r="W205" t="inlineStr">
        <is>
          <t>1993-04-28</t>
        </is>
      </c>
      <c r="X205" t="inlineStr">
        <is>
          <t>1993-04-28</t>
        </is>
      </c>
      <c r="Y205" t="n">
        <v>476</v>
      </c>
      <c r="Z205" t="n">
        <v>446</v>
      </c>
      <c r="AA205" t="n">
        <v>515</v>
      </c>
      <c r="AB205" t="n">
        <v>2</v>
      </c>
      <c r="AC205" t="n">
        <v>4</v>
      </c>
      <c r="AD205" t="n">
        <v>22</v>
      </c>
      <c r="AE205" t="n">
        <v>26</v>
      </c>
      <c r="AF205" t="n">
        <v>11</v>
      </c>
      <c r="AG205" t="n">
        <v>11</v>
      </c>
      <c r="AH205" t="n">
        <v>6</v>
      </c>
      <c r="AI205" t="n">
        <v>7</v>
      </c>
      <c r="AJ205" t="n">
        <v>12</v>
      </c>
      <c r="AK205" t="n">
        <v>14</v>
      </c>
      <c r="AL205" t="n">
        <v>0</v>
      </c>
      <c r="AM205" t="n">
        <v>2</v>
      </c>
      <c r="AN205" t="n">
        <v>0</v>
      </c>
      <c r="AO205" t="n">
        <v>0</v>
      </c>
      <c r="AP205" t="inlineStr">
        <is>
          <t>No</t>
        </is>
      </c>
      <c r="AQ205" t="inlineStr">
        <is>
          <t>No</t>
        </is>
      </c>
      <c r="AS205">
        <f>HYPERLINK("https://creighton-primo.hosted.exlibrisgroup.com/primo-explore/search?tab=default_tab&amp;search_scope=EVERYTHING&amp;vid=01CRU&amp;lang=en_US&amp;offset=0&amp;query=any,contains,991000747389702656","Catalog Record")</f>
        <v/>
      </c>
      <c r="AT205">
        <f>HYPERLINK("http://www.worldcat.org/oclc/12878476","WorldCat Record")</f>
        <v/>
      </c>
      <c r="AU205" t="inlineStr">
        <is>
          <t>9437920069:eng</t>
        </is>
      </c>
      <c r="AV205" t="inlineStr">
        <is>
          <t>12878476</t>
        </is>
      </c>
      <c r="AW205" t="inlineStr">
        <is>
          <t>991000747389702656</t>
        </is>
      </c>
      <c r="AX205" t="inlineStr">
        <is>
          <t>991000747389702656</t>
        </is>
      </c>
      <c r="AY205" t="inlineStr">
        <is>
          <t>2257247500002656</t>
        </is>
      </c>
      <c r="AZ205" t="inlineStr">
        <is>
          <t>BOOK</t>
        </is>
      </c>
      <c r="BB205" t="inlineStr">
        <is>
          <t>9780684185125</t>
        </is>
      </c>
      <c r="BC205" t="inlineStr">
        <is>
          <t>32285001649275</t>
        </is>
      </c>
      <c r="BD205" t="inlineStr">
        <is>
          <t>893608244</t>
        </is>
      </c>
    </row>
    <row r="206">
      <c r="A206" t="inlineStr">
        <is>
          <t>No</t>
        </is>
      </c>
      <c r="B206" t="inlineStr">
        <is>
          <t>PG3377.E5 C48 1985</t>
        </is>
      </c>
      <c r="C206" t="inlineStr">
        <is>
          <t>0                      PG 3377000E  5                  C  48          1985</t>
        </is>
      </c>
      <c r="D206" t="inlineStr">
        <is>
          <t>Tolstoy's diaries / edited and translated by R.F. Christian.</t>
        </is>
      </c>
      <c r="E206" t="inlineStr">
        <is>
          <t>V.1</t>
        </is>
      </c>
      <c r="F206" t="inlineStr">
        <is>
          <t>Yes</t>
        </is>
      </c>
      <c r="G206" t="inlineStr">
        <is>
          <t>1</t>
        </is>
      </c>
      <c r="H206" t="inlineStr">
        <is>
          <t>No</t>
        </is>
      </c>
      <c r="I206" t="inlineStr">
        <is>
          <t>No</t>
        </is>
      </c>
      <c r="J206" t="inlineStr">
        <is>
          <t>0</t>
        </is>
      </c>
      <c r="K206" t="inlineStr">
        <is>
          <t>Tolstoy, Leo, graf, 1828-1910.</t>
        </is>
      </c>
      <c r="L206" t="inlineStr">
        <is>
          <t>New York : Scribner Press, 1985.</t>
        </is>
      </c>
      <c r="M206" t="inlineStr">
        <is>
          <t>1985</t>
        </is>
      </c>
      <c r="O206" t="inlineStr">
        <is>
          <t>eng</t>
        </is>
      </c>
      <c r="P206" t="inlineStr">
        <is>
          <t>nyu</t>
        </is>
      </c>
      <c r="R206" t="inlineStr">
        <is>
          <t xml:space="preserve">PG </t>
        </is>
      </c>
      <c r="S206" t="n">
        <v>3</v>
      </c>
      <c r="T206" t="n">
        <v>6</v>
      </c>
      <c r="U206" t="inlineStr">
        <is>
          <t>1998-10-19</t>
        </is>
      </c>
      <c r="V206" t="inlineStr">
        <is>
          <t>1998-10-19</t>
        </is>
      </c>
      <c r="W206" t="inlineStr">
        <is>
          <t>1992-02-27</t>
        </is>
      </c>
      <c r="X206" t="inlineStr">
        <is>
          <t>1993-04-28</t>
        </is>
      </c>
      <c r="Y206" t="n">
        <v>476</v>
      </c>
      <c r="Z206" t="n">
        <v>446</v>
      </c>
      <c r="AA206" t="n">
        <v>515</v>
      </c>
      <c r="AB206" t="n">
        <v>2</v>
      </c>
      <c r="AC206" t="n">
        <v>4</v>
      </c>
      <c r="AD206" t="n">
        <v>22</v>
      </c>
      <c r="AE206" t="n">
        <v>26</v>
      </c>
      <c r="AF206" t="n">
        <v>11</v>
      </c>
      <c r="AG206" t="n">
        <v>11</v>
      </c>
      <c r="AH206" t="n">
        <v>6</v>
      </c>
      <c r="AI206" t="n">
        <v>7</v>
      </c>
      <c r="AJ206" t="n">
        <v>12</v>
      </c>
      <c r="AK206" t="n">
        <v>14</v>
      </c>
      <c r="AL206" t="n">
        <v>0</v>
      </c>
      <c r="AM206" t="n">
        <v>2</v>
      </c>
      <c r="AN206" t="n">
        <v>0</v>
      </c>
      <c r="AO206" t="n">
        <v>0</v>
      </c>
      <c r="AP206" t="inlineStr">
        <is>
          <t>No</t>
        </is>
      </c>
      <c r="AQ206" t="inlineStr">
        <is>
          <t>No</t>
        </is>
      </c>
      <c r="AS206">
        <f>HYPERLINK("https://creighton-primo.hosted.exlibrisgroup.com/primo-explore/search?tab=default_tab&amp;search_scope=EVERYTHING&amp;vid=01CRU&amp;lang=en_US&amp;offset=0&amp;query=any,contains,991000747389702656","Catalog Record")</f>
        <v/>
      </c>
      <c r="AT206">
        <f>HYPERLINK("http://www.worldcat.org/oclc/12878476","WorldCat Record")</f>
        <v/>
      </c>
      <c r="AU206" t="inlineStr">
        <is>
          <t>9437920069:eng</t>
        </is>
      </c>
      <c r="AV206" t="inlineStr">
        <is>
          <t>12878476</t>
        </is>
      </c>
      <c r="AW206" t="inlineStr">
        <is>
          <t>991000747389702656</t>
        </is>
      </c>
      <c r="AX206" t="inlineStr">
        <is>
          <t>991000747389702656</t>
        </is>
      </c>
      <c r="AY206" t="inlineStr">
        <is>
          <t>2257247500002656</t>
        </is>
      </c>
      <c r="AZ206" t="inlineStr">
        <is>
          <t>BOOK</t>
        </is>
      </c>
      <c r="BB206" t="inlineStr">
        <is>
          <t>9780684185125</t>
        </is>
      </c>
      <c r="BC206" t="inlineStr">
        <is>
          <t>32285000978758</t>
        </is>
      </c>
      <c r="BD206" t="inlineStr">
        <is>
          <t>893608245</t>
        </is>
      </c>
    </row>
    <row r="207">
      <c r="A207" t="inlineStr">
        <is>
          <t>No</t>
        </is>
      </c>
      <c r="B207" t="inlineStr">
        <is>
          <t>PG3385 .B38 1988</t>
        </is>
      </c>
      <c r="C207" t="inlineStr">
        <is>
          <t>0                      PG 3385000B  38          1988</t>
        </is>
      </c>
      <c r="D207" t="inlineStr">
        <is>
          <t>Tolstoy and the novel / John Bayley ; with a new preface.</t>
        </is>
      </c>
      <c r="F207" t="inlineStr">
        <is>
          <t>No</t>
        </is>
      </c>
      <c r="G207" t="inlineStr">
        <is>
          <t>1</t>
        </is>
      </c>
      <c r="H207" t="inlineStr">
        <is>
          <t>No</t>
        </is>
      </c>
      <c r="I207" t="inlineStr">
        <is>
          <t>No</t>
        </is>
      </c>
      <c r="J207" t="inlineStr">
        <is>
          <t>0</t>
        </is>
      </c>
      <c r="K207" t="inlineStr">
        <is>
          <t>Bayley, John, 1925-2015.</t>
        </is>
      </c>
      <c r="L207" t="inlineStr">
        <is>
          <t>Chicago : University of Chicago Press, 1988.</t>
        </is>
      </c>
      <c r="M207" t="inlineStr">
        <is>
          <t>1988</t>
        </is>
      </c>
      <c r="N207" t="inlineStr">
        <is>
          <t>University of Chicago Press ed.</t>
        </is>
      </c>
      <c r="O207" t="inlineStr">
        <is>
          <t>eng</t>
        </is>
      </c>
      <c r="P207" t="inlineStr">
        <is>
          <t>ilu</t>
        </is>
      </c>
      <c r="R207" t="inlineStr">
        <is>
          <t xml:space="preserve">PG </t>
        </is>
      </c>
      <c r="S207" t="n">
        <v>5</v>
      </c>
      <c r="T207" t="n">
        <v>5</v>
      </c>
      <c r="U207" t="inlineStr">
        <is>
          <t>1998-10-19</t>
        </is>
      </c>
      <c r="V207" t="inlineStr">
        <is>
          <t>1998-10-19</t>
        </is>
      </c>
      <c r="W207" t="inlineStr">
        <is>
          <t>1989-10-20</t>
        </is>
      </c>
      <c r="X207" t="inlineStr">
        <is>
          <t>1989-10-20</t>
        </is>
      </c>
      <c r="Y207" t="n">
        <v>135</v>
      </c>
      <c r="Z207" t="n">
        <v>115</v>
      </c>
      <c r="AA207" t="n">
        <v>1071</v>
      </c>
      <c r="AB207" t="n">
        <v>1</v>
      </c>
      <c r="AC207" t="n">
        <v>6</v>
      </c>
      <c r="AD207" t="n">
        <v>6</v>
      </c>
      <c r="AE207" t="n">
        <v>34</v>
      </c>
      <c r="AF207" t="n">
        <v>3</v>
      </c>
      <c r="AG207" t="n">
        <v>12</v>
      </c>
      <c r="AH207" t="n">
        <v>1</v>
      </c>
      <c r="AI207" t="n">
        <v>7</v>
      </c>
      <c r="AJ207" t="n">
        <v>3</v>
      </c>
      <c r="AK207" t="n">
        <v>16</v>
      </c>
      <c r="AL207" t="n">
        <v>0</v>
      </c>
      <c r="AM207" t="n">
        <v>5</v>
      </c>
      <c r="AN207" t="n">
        <v>0</v>
      </c>
      <c r="AO207" t="n">
        <v>0</v>
      </c>
      <c r="AP207" t="inlineStr">
        <is>
          <t>No</t>
        </is>
      </c>
      <c r="AQ207" t="inlineStr">
        <is>
          <t>No</t>
        </is>
      </c>
      <c r="AS207">
        <f>HYPERLINK("https://creighton-primo.hosted.exlibrisgroup.com/primo-explore/search?tab=default_tab&amp;search_scope=EVERYTHING&amp;vid=01CRU&amp;lang=en_US&amp;offset=0&amp;query=any,contains,991001324589702656","Catalog Record")</f>
        <v/>
      </c>
      <c r="AT207">
        <f>HYPERLINK("http://www.worldcat.org/oclc/18259319","WorldCat Record")</f>
        <v/>
      </c>
      <c r="AU207" t="inlineStr">
        <is>
          <t>1258385:eng</t>
        </is>
      </c>
      <c r="AV207" t="inlineStr">
        <is>
          <t>18259319</t>
        </is>
      </c>
      <c r="AW207" t="inlineStr">
        <is>
          <t>991001324589702656</t>
        </is>
      </c>
      <c r="AX207" t="inlineStr">
        <is>
          <t>991001324589702656</t>
        </is>
      </c>
      <c r="AY207" t="inlineStr">
        <is>
          <t>2255433080002656</t>
        </is>
      </c>
      <c r="AZ207" t="inlineStr">
        <is>
          <t>BOOK</t>
        </is>
      </c>
      <c r="BB207" t="inlineStr">
        <is>
          <t>9780226039602</t>
        </is>
      </c>
      <c r="BC207" t="inlineStr">
        <is>
          <t>32285000001338</t>
        </is>
      </c>
      <c r="BD207" t="inlineStr">
        <is>
          <t>893891495</t>
        </is>
      </c>
    </row>
    <row r="208">
      <c r="A208" t="inlineStr">
        <is>
          <t>No</t>
        </is>
      </c>
      <c r="B208" t="inlineStr">
        <is>
          <t>PG3385 .C67</t>
        </is>
      </c>
      <c r="C208" t="inlineStr">
        <is>
          <t>0                      PG 3385000C  67</t>
        </is>
      </c>
      <c r="D208" t="inlineStr">
        <is>
          <t>Tolstoy : the making of a novelist.</t>
        </is>
      </c>
      <c r="F208" t="inlineStr">
        <is>
          <t>No</t>
        </is>
      </c>
      <c r="G208" t="inlineStr">
        <is>
          <t>1</t>
        </is>
      </c>
      <c r="H208" t="inlineStr">
        <is>
          <t>No</t>
        </is>
      </c>
      <c r="I208" t="inlineStr">
        <is>
          <t>No</t>
        </is>
      </c>
      <c r="J208" t="inlineStr">
        <is>
          <t>0</t>
        </is>
      </c>
      <c r="K208" t="inlineStr">
        <is>
          <t>Crankshaw, Edward.</t>
        </is>
      </c>
      <c r="L208" t="inlineStr">
        <is>
          <t>New York : Viking Press, [1974]</t>
        </is>
      </c>
      <c r="M208" t="inlineStr">
        <is>
          <t>1974</t>
        </is>
      </c>
      <c r="O208" t="inlineStr">
        <is>
          <t>eng</t>
        </is>
      </c>
      <c r="P208" t="inlineStr">
        <is>
          <t>nyu</t>
        </is>
      </c>
      <c r="Q208" t="inlineStr">
        <is>
          <t>A Studio book</t>
        </is>
      </c>
      <c r="R208" t="inlineStr">
        <is>
          <t xml:space="preserve">PG </t>
        </is>
      </c>
      <c r="S208" t="n">
        <v>6</v>
      </c>
      <c r="T208" t="n">
        <v>6</v>
      </c>
      <c r="U208" t="inlineStr">
        <is>
          <t>2004-04-01</t>
        </is>
      </c>
      <c r="V208" t="inlineStr">
        <is>
          <t>2004-04-01</t>
        </is>
      </c>
      <c r="W208" t="inlineStr">
        <is>
          <t>1990-09-18</t>
        </is>
      </c>
      <c r="X208" t="inlineStr">
        <is>
          <t>1990-09-18</t>
        </is>
      </c>
      <c r="Y208" t="n">
        <v>781</v>
      </c>
      <c r="Z208" t="n">
        <v>737</v>
      </c>
      <c r="AA208" t="n">
        <v>798</v>
      </c>
      <c r="AB208" t="n">
        <v>9</v>
      </c>
      <c r="AC208" t="n">
        <v>9</v>
      </c>
      <c r="AD208" t="n">
        <v>31</v>
      </c>
      <c r="AE208" t="n">
        <v>33</v>
      </c>
      <c r="AF208" t="n">
        <v>11</v>
      </c>
      <c r="AG208" t="n">
        <v>12</v>
      </c>
      <c r="AH208" t="n">
        <v>8</v>
      </c>
      <c r="AI208" t="n">
        <v>8</v>
      </c>
      <c r="AJ208" t="n">
        <v>14</v>
      </c>
      <c r="AK208" t="n">
        <v>15</v>
      </c>
      <c r="AL208" t="n">
        <v>7</v>
      </c>
      <c r="AM208" t="n">
        <v>7</v>
      </c>
      <c r="AN208" t="n">
        <v>0</v>
      </c>
      <c r="AO208" t="n">
        <v>0</v>
      </c>
      <c r="AP208" t="inlineStr">
        <is>
          <t>No</t>
        </is>
      </c>
      <c r="AQ208" t="inlineStr">
        <is>
          <t>Yes</t>
        </is>
      </c>
      <c r="AR208">
        <f>HYPERLINK("http://catalog.hathitrust.org/Record/000170097","HathiTrust Record")</f>
        <v/>
      </c>
      <c r="AS208">
        <f>HYPERLINK("https://creighton-primo.hosted.exlibrisgroup.com/primo-explore/search?tab=default_tab&amp;search_scope=EVERYTHING&amp;vid=01CRU&amp;lang=en_US&amp;offset=0&amp;query=any,contains,991004206409702656","Catalog Record")</f>
        <v/>
      </c>
      <c r="AT208">
        <f>HYPERLINK("http://www.worldcat.org/oclc/2668096","WorldCat Record")</f>
        <v/>
      </c>
      <c r="AU208" t="inlineStr">
        <is>
          <t>1993499:eng</t>
        </is>
      </c>
      <c r="AV208" t="inlineStr">
        <is>
          <t>2668096</t>
        </is>
      </c>
      <c r="AW208" t="inlineStr">
        <is>
          <t>991004206409702656</t>
        </is>
      </c>
      <c r="AX208" t="inlineStr">
        <is>
          <t>991004206409702656</t>
        </is>
      </c>
      <c r="AY208" t="inlineStr">
        <is>
          <t>2258748390002656</t>
        </is>
      </c>
      <c r="AZ208" t="inlineStr">
        <is>
          <t>BOOK</t>
        </is>
      </c>
      <c r="BB208" t="inlineStr">
        <is>
          <t>9780670718610</t>
        </is>
      </c>
      <c r="BC208" t="inlineStr">
        <is>
          <t>32285000304302</t>
        </is>
      </c>
      <c r="BD208" t="inlineStr">
        <is>
          <t>893532121</t>
        </is>
      </c>
    </row>
    <row r="209">
      <c r="A209" t="inlineStr">
        <is>
          <t>No</t>
        </is>
      </c>
      <c r="B209" t="inlineStr">
        <is>
          <t>PG3385 .D6</t>
        </is>
      </c>
      <c r="C209" t="inlineStr">
        <is>
          <t>0                      PG 3385000D  6</t>
        </is>
      </c>
      <c r="D209" t="inlineStr">
        <is>
          <t>The life of Count Lyof N. Tolstoï, by Nathan Haskell Dole ...</t>
        </is>
      </c>
      <c r="F209" t="inlineStr">
        <is>
          <t>No</t>
        </is>
      </c>
      <c r="G209" t="inlineStr">
        <is>
          <t>1</t>
        </is>
      </c>
      <c r="H209" t="inlineStr">
        <is>
          <t>No</t>
        </is>
      </c>
      <c r="I209" t="inlineStr">
        <is>
          <t>No</t>
        </is>
      </c>
      <c r="J209" t="inlineStr">
        <is>
          <t>0</t>
        </is>
      </c>
      <c r="K209" t="inlineStr">
        <is>
          <t>Dole, Nathan Haskell, 1852-1935.</t>
        </is>
      </c>
      <c r="L209" t="inlineStr">
        <is>
          <t>New York, Thomas Y. Crowell Company [1911]</t>
        </is>
      </c>
      <c r="M209" t="inlineStr">
        <is>
          <t>1911</t>
        </is>
      </c>
      <c r="O209" t="inlineStr">
        <is>
          <t>eng</t>
        </is>
      </c>
      <c r="P209" t="inlineStr">
        <is>
          <t>nyu</t>
        </is>
      </c>
      <c r="R209" t="inlineStr">
        <is>
          <t xml:space="preserve">PG </t>
        </is>
      </c>
      <c r="S209" t="n">
        <v>1</v>
      </c>
      <c r="T209" t="n">
        <v>1</v>
      </c>
      <c r="U209" t="inlineStr">
        <is>
          <t>2004-04-20</t>
        </is>
      </c>
      <c r="V209" t="inlineStr">
        <is>
          <t>2004-04-20</t>
        </is>
      </c>
      <c r="W209" t="inlineStr">
        <is>
          <t>1997-09-08</t>
        </is>
      </c>
      <c r="X209" t="inlineStr">
        <is>
          <t>1997-09-08</t>
        </is>
      </c>
      <c r="Y209" t="n">
        <v>224</v>
      </c>
      <c r="Z209" t="n">
        <v>209</v>
      </c>
      <c r="AA209" t="n">
        <v>266</v>
      </c>
      <c r="AB209" t="n">
        <v>4</v>
      </c>
      <c r="AC209" t="n">
        <v>4</v>
      </c>
      <c r="AD209" t="n">
        <v>7</v>
      </c>
      <c r="AE209" t="n">
        <v>9</v>
      </c>
      <c r="AF209" t="n">
        <v>1</v>
      </c>
      <c r="AG209" t="n">
        <v>1</v>
      </c>
      <c r="AH209" t="n">
        <v>2</v>
      </c>
      <c r="AI209" t="n">
        <v>3</v>
      </c>
      <c r="AJ209" t="n">
        <v>3</v>
      </c>
      <c r="AK209" t="n">
        <v>4</v>
      </c>
      <c r="AL209" t="n">
        <v>3</v>
      </c>
      <c r="AM209" t="n">
        <v>3</v>
      </c>
      <c r="AN209" t="n">
        <v>0</v>
      </c>
      <c r="AO209" t="n">
        <v>0</v>
      </c>
      <c r="AP209" t="inlineStr">
        <is>
          <t>Yes</t>
        </is>
      </c>
      <c r="AQ209" t="inlineStr">
        <is>
          <t>No</t>
        </is>
      </c>
      <c r="AR209">
        <f>HYPERLINK("http://catalog.hathitrust.org/Record/001061107","HathiTrust Record")</f>
        <v/>
      </c>
      <c r="AS209">
        <f>HYPERLINK("https://creighton-primo.hosted.exlibrisgroup.com/primo-explore/search?tab=default_tab&amp;search_scope=EVERYTHING&amp;vid=01CRU&amp;lang=en_US&amp;offset=0&amp;query=any,contains,991003296099702656","Catalog Record")</f>
        <v/>
      </c>
      <c r="AT209">
        <f>HYPERLINK("http://www.worldcat.org/oclc/818311","WorldCat Record")</f>
        <v/>
      </c>
      <c r="AU209" t="inlineStr">
        <is>
          <t>3856364143:eng</t>
        </is>
      </c>
      <c r="AV209" t="inlineStr">
        <is>
          <t>818311</t>
        </is>
      </c>
      <c r="AW209" t="inlineStr">
        <is>
          <t>991003296099702656</t>
        </is>
      </c>
      <c r="AX209" t="inlineStr">
        <is>
          <t>991003296099702656</t>
        </is>
      </c>
      <c r="AY209" t="inlineStr">
        <is>
          <t>2272031360002656</t>
        </is>
      </c>
      <c r="AZ209" t="inlineStr">
        <is>
          <t>BOOK</t>
        </is>
      </c>
      <c r="BC209" t="inlineStr">
        <is>
          <t>32285003199238</t>
        </is>
      </c>
      <c r="BD209" t="inlineStr">
        <is>
          <t>893617197</t>
        </is>
      </c>
    </row>
    <row r="210">
      <c r="A210" t="inlineStr">
        <is>
          <t>No</t>
        </is>
      </c>
      <c r="B210" t="inlineStr">
        <is>
          <t>PG3385 .G62 1920a</t>
        </is>
      </c>
      <c r="C210" t="inlineStr">
        <is>
          <t>0                      PG 3385000G  62          1920a</t>
        </is>
      </c>
      <c r="D210" t="inlineStr">
        <is>
          <t>Reminiscences of Leo Nikolaevich Tolstoy, by Maxim Gorky. Authorized translation from the Russian by S. S. Koteliansky and Leonard Woolf.</t>
        </is>
      </c>
      <c r="F210" t="inlineStr">
        <is>
          <t>No</t>
        </is>
      </c>
      <c r="G210" t="inlineStr">
        <is>
          <t>1</t>
        </is>
      </c>
      <c r="H210" t="inlineStr">
        <is>
          <t>No</t>
        </is>
      </c>
      <c r="I210" t="inlineStr">
        <is>
          <t>No</t>
        </is>
      </c>
      <c r="J210" t="inlineStr">
        <is>
          <t>0</t>
        </is>
      </c>
      <c r="K210" t="inlineStr">
        <is>
          <t>Gorky, Maksim, 1868-1936.</t>
        </is>
      </c>
      <c r="L210" t="inlineStr">
        <is>
          <t>New York, B. W. Huebsch, 1920.</t>
        </is>
      </c>
      <c r="M210" t="inlineStr">
        <is>
          <t>1920</t>
        </is>
      </c>
      <c r="O210" t="inlineStr">
        <is>
          <t>eng</t>
        </is>
      </c>
      <c r="P210" t="inlineStr">
        <is>
          <t>nyu</t>
        </is>
      </c>
      <c r="R210" t="inlineStr">
        <is>
          <t xml:space="preserve">PG </t>
        </is>
      </c>
      <c r="S210" t="n">
        <v>1</v>
      </c>
      <c r="T210" t="n">
        <v>1</v>
      </c>
      <c r="U210" t="inlineStr">
        <is>
          <t>2004-03-28</t>
        </is>
      </c>
      <c r="V210" t="inlineStr">
        <is>
          <t>2004-03-28</t>
        </is>
      </c>
      <c r="W210" t="inlineStr">
        <is>
          <t>1997-09-08</t>
        </is>
      </c>
      <c r="X210" t="inlineStr">
        <is>
          <t>1997-09-08</t>
        </is>
      </c>
      <c r="Y210" t="n">
        <v>220</v>
      </c>
      <c r="Z210" t="n">
        <v>204</v>
      </c>
      <c r="AA210" t="n">
        <v>1593</v>
      </c>
      <c r="AB210" t="n">
        <v>3</v>
      </c>
      <c r="AC210" t="n">
        <v>20</v>
      </c>
      <c r="AD210" t="n">
        <v>9</v>
      </c>
      <c r="AE210" t="n">
        <v>48</v>
      </c>
      <c r="AF210" t="n">
        <v>0</v>
      </c>
      <c r="AG210" t="n">
        <v>15</v>
      </c>
      <c r="AH210" t="n">
        <v>2</v>
      </c>
      <c r="AI210" t="n">
        <v>9</v>
      </c>
      <c r="AJ210" t="n">
        <v>6</v>
      </c>
      <c r="AK210" t="n">
        <v>19</v>
      </c>
      <c r="AL210" t="n">
        <v>2</v>
      </c>
      <c r="AM210" t="n">
        <v>13</v>
      </c>
      <c r="AN210" t="n">
        <v>0</v>
      </c>
      <c r="AO210" t="n">
        <v>0</v>
      </c>
      <c r="AP210" t="inlineStr">
        <is>
          <t>Yes</t>
        </is>
      </c>
      <c r="AQ210" t="inlineStr">
        <is>
          <t>No</t>
        </is>
      </c>
      <c r="AR210">
        <f>HYPERLINK("http://catalog.hathitrust.org/Record/001110419","HathiTrust Record")</f>
        <v/>
      </c>
      <c r="AS210">
        <f>HYPERLINK("https://creighton-primo.hosted.exlibrisgroup.com/primo-explore/search?tab=default_tab&amp;search_scope=EVERYTHING&amp;vid=01CRU&amp;lang=en_US&amp;offset=0&amp;query=any,contains,991003053689702656","Catalog Record")</f>
        <v/>
      </c>
      <c r="AT210">
        <f>HYPERLINK("http://www.worldcat.org/oclc/612767","WorldCat Record")</f>
        <v/>
      </c>
      <c r="AU210" t="inlineStr">
        <is>
          <t>230516479:eng</t>
        </is>
      </c>
      <c r="AV210" t="inlineStr">
        <is>
          <t>612767</t>
        </is>
      </c>
      <c r="AW210" t="inlineStr">
        <is>
          <t>991003053689702656</t>
        </is>
      </c>
      <c r="AX210" t="inlineStr">
        <is>
          <t>991003053689702656</t>
        </is>
      </c>
      <c r="AY210" t="inlineStr">
        <is>
          <t>2266698410002656</t>
        </is>
      </c>
      <c r="AZ210" t="inlineStr">
        <is>
          <t>BOOK</t>
        </is>
      </c>
      <c r="BC210" t="inlineStr">
        <is>
          <t>32285003199246</t>
        </is>
      </c>
      <c r="BD210" t="inlineStr">
        <is>
          <t>893227631</t>
        </is>
      </c>
    </row>
    <row r="211">
      <c r="A211" t="inlineStr">
        <is>
          <t>No</t>
        </is>
      </c>
      <c r="B211" t="inlineStr">
        <is>
          <t>PG3385 .M4 1970</t>
        </is>
      </c>
      <c r="C211" t="inlineStr">
        <is>
          <t>0                      PG 3385000M  4           1970</t>
        </is>
      </c>
      <c r="D211" t="inlineStr">
        <is>
          <t>Tolstoi as man and artist : with an essay on Dostoïevski / by Dmitri Merejkowski.</t>
        </is>
      </c>
      <c r="F211" t="inlineStr">
        <is>
          <t>No</t>
        </is>
      </c>
      <c r="G211" t="inlineStr">
        <is>
          <t>1</t>
        </is>
      </c>
      <c r="H211" t="inlineStr">
        <is>
          <t>No</t>
        </is>
      </c>
      <c r="I211" t="inlineStr">
        <is>
          <t>No</t>
        </is>
      </c>
      <c r="J211" t="inlineStr">
        <is>
          <t>0</t>
        </is>
      </c>
      <c r="K211" t="inlineStr">
        <is>
          <t>Merezhkovsky, Dmitry Sergeyevich, 1865-1941.</t>
        </is>
      </c>
      <c r="L211" t="inlineStr">
        <is>
          <t>Westport, Conn. : Greenwood Press, [1970]</t>
        </is>
      </c>
      <c r="M211" t="inlineStr">
        <is>
          <t>1970</t>
        </is>
      </c>
      <c r="O211" t="inlineStr">
        <is>
          <t>eng</t>
        </is>
      </c>
      <c r="P211" t="inlineStr">
        <is>
          <t>ctu</t>
        </is>
      </c>
      <c r="R211" t="inlineStr">
        <is>
          <t xml:space="preserve">PG </t>
        </is>
      </c>
      <c r="S211" t="n">
        <v>1</v>
      </c>
      <c r="T211" t="n">
        <v>1</v>
      </c>
      <c r="U211" t="inlineStr">
        <is>
          <t>2004-03-31</t>
        </is>
      </c>
      <c r="V211" t="inlineStr">
        <is>
          <t>2004-03-31</t>
        </is>
      </c>
      <c r="W211" t="inlineStr">
        <is>
          <t>1993-02-10</t>
        </is>
      </c>
      <c r="X211" t="inlineStr">
        <is>
          <t>1993-02-10</t>
        </is>
      </c>
      <c r="Y211" t="n">
        <v>242</v>
      </c>
      <c r="Z211" t="n">
        <v>217</v>
      </c>
      <c r="AA211" t="n">
        <v>439</v>
      </c>
      <c r="AB211" t="n">
        <v>2</v>
      </c>
      <c r="AC211" t="n">
        <v>5</v>
      </c>
      <c r="AD211" t="n">
        <v>10</v>
      </c>
      <c r="AE211" t="n">
        <v>20</v>
      </c>
      <c r="AF211" t="n">
        <v>3</v>
      </c>
      <c r="AG211" t="n">
        <v>5</v>
      </c>
      <c r="AH211" t="n">
        <v>2</v>
      </c>
      <c r="AI211" t="n">
        <v>5</v>
      </c>
      <c r="AJ211" t="n">
        <v>5</v>
      </c>
      <c r="AK211" t="n">
        <v>11</v>
      </c>
      <c r="AL211" t="n">
        <v>1</v>
      </c>
      <c r="AM211" t="n">
        <v>2</v>
      </c>
      <c r="AN211" t="n">
        <v>0</v>
      </c>
      <c r="AO211" t="n">
        <v>0</v>
      </c>
      <c r="AP211" t="inlineStr">
        <is>
          <t>No</t>
        </is>
      </c>
      <c r="AQ211" t="inlineStr">
        <is>
          <t>Yes</t>
        </is>
      </c>
      <c r="AR211">
        <f>HYPERLINK("http://catalog.hathitrust.org/Record/001061154","HathiTrust Record")</f>
        <v/>
      </c>
      <c r="AS211">
        <f>HYPERLINK("https://creighton-primo.hosted.exlibrisgroup.com/primo-explore/search?tab=default_tab&amp;search_scope=EVERYTHING&amp;vid=01CRU&amp;lang=en_US&amp;offset=0&amp;query=any,contains,991000643209702656","Catalog Record")</f>
        <v/>
      </c>
      <c r="AT211">
        <f>HYPERLINK("http://www.worldcat.org/oclc/110091","WorldCat Record")</f>
        <v/>
      </c>
      <c r="AU211" t="inlineStr">
        <is>
          <t>9163053463:eng</t>
        </is>
      </c>
      <c r="AV211" t="inlineStr">
        <is>
          <t>110091</t>
        </is>
      </c>
      <c r="AW211" t="inlineStr">
        <is>
          <t>991000643209702656</t>
        </is>
      </c>
      <c r="AX211" t="inlineStr">
        <is>
          <t>991000643209702656</t>
        </is>
      </c>
      <c r="AY211" t="inlineStr">
        <is>
          <t>2266960620002656</t>
        </is>
      </c>
      <c r="AZ211" t="inlineStr">
        <is>
          <t>BOOK</t>
        </is>
      </c>
      <c r="BB211" t="inlineStr">
        <is>
          <t>9780837140988</t>
        </is>
      </c>
      <c r="BC211" t="inlineStr">
        <is>
          <t>32285001509230</t>
        </is>
      </c>
      <c r="BD211" t="inlineStr">
        <is>
          <t>893620661</t>
        </is>
      </c>
    </row>
    <row r="212">
      <c r="A212" t="inlineStr">
        <is>
          <t>No</t>
        </is>
      </c>
      <c r="B212" t="inlineStr">
        <is>
          <t>PG3385 .N6</t>
        </is>
      </c>
      <c r="C212" t="inlineStr">
        <is>
          <t>0                      PG 3385000N  6</t>
        </is>
      </c>
      <c r="D212" t="inlineStr">
        <is>
          <t>Tolstoy / by George Rapall Noyes.</t>
        </is>
      </c>
      <c r="F212" t="inlineStr">
        <is>
          <t>No</t>
        </is>
      </c>
      <c r="G212" t="inlineStr">
        <is>
          <t>1</t>
        </is>
      </c>
      <c r="H212" t="inlineStr">
        <is>
          <t>No</t>
        </is>
      </c>
      <c r="I212" t="inlineStr">
        <is>
          <t>No</t>
        </is>
      </c>
      <c r="J212" t="inlineStr">
        <is>
          <t>0</t>
        </is>
      </c>
      <c r="K212" t="inlineStr">
        <is>
          <t>Noyes, George Rapall, 1873-1952.</t>
        </is>
      </c>
      <c r="L212" t="inlineStr">
        <is>
          <t>New York : Duffield &amp; Company, 1918.</t>
        </is>
      </c>
      <c r="M212" t="inlineStr">
        <is>
          <t>1918</t>
        </is>
      </c>
      <c r="O212" t="inlineStr">
        <is>
          <t>eng</t>
        </is>
      </c>
      <c r="P212" t="inlineStr">
        <is>
          <t>nyu</t>
        </is>
      </c>
      <c r="Q212" t="inlineStr">
        <is>
          <t>Master spirits of literature</t>
        </is>
      </c>
      <c r="R212" t="inlineStr">
        <is>
          <t xml:space="preserve">PG </t>
        </is>
      </c>
      <c r="S212" t="n">
        <v>3</v>
      </c>
      <c r="T212" t="n">
        <v>3</v>
      </c>
      <c r="U212" t="inlineStr">
        <is>
          <t>2004-04-01</t>
        </is>
      </c>
      <c r="V212" t="inlineStr">
        <is>
          <t>2004-04-01</t>
        </is>
      </c>
      <c r="W212" t="inlineStr">
        <is>
          <t>1991-09-16</t>
        </is>
      </c>
      <c r="X212" t="inlineStr">
        <is>
          <t>1991-09-16</t>
        </is>
      </c>
      <c r="Y212" t="n">
        <v>140</v>
      </c>
      <c r="Z212" t="n">
        <v>121</v>
      </c>
      <c r="AA212" t="n">
        <v>424</v>
      </c>
      <c r="AB212" t="n">
        <v>1</v>
      </c>
      <c r="AC212" t="n">
        <v>2</v>
      </c>
      <c r="AD212" t="n">
        <v>3</v>
      </c>
      <c r="AE212" t="n">
        <v>19</v>
      </c>
      <c r="AF212" t="n">
        <v>0</v>
      </c>
      <c r="AG212" t="n">
        <v>6</v>
      </c>
      <c r="AH212" t="n">
        <v>0</v>
      </c>
      <c r="AI212" t="n">
        <v>5</v>
      </c>
      <c r="AJ212" t="n">
        <v>3</v>
      </c>
      <c r="AK212" t="n">
        <v>11</v>
      </c>
      <c r="AL212" t="n">
        <v>0</v>
      </c>
      <c r="AM212" t="n">
        <v>1</v>
      </c>
      <c r="AN212" t="n">
        <v>0</v>
      </c>
      <c r="AO212" t="n">
        <v>0</v>
      </c>
      <c r="AP212" t="inlineStr">
        <is>
          <t>Yes</t>
        </is>
      </c>
      <c r="AQ212" t="inlineStr">
        <is>
          <t>No</t>
        </is>
      </c>
      <c r="AR212">
        <f>HYPERLINK("http://catalog.hathitrust.org/Record/001378639","HathiTrust Record")</f>
        <v/>
      </c>
      <c r="AS212">
        <f>HYPERLINK("https://creighton-primo.hosted.exlibrisgroup.com/primo-explore/search?tab=default_tab&amp;search_scope=EVERYTHING&amp;vid=01CRU&amp;lang=en_US&amp;offset=0&amp;query=any,contains,991003841939702656","Catalog Record")</f>
        <v/>
      </c>
      <c r="AT212">
        <f>HYPERLINK("http://www.worldcat.org/oclc/1619960","WorldCat Record")</f>
        <v/>
      </c>
      <c r="AU212" t="inlineStr">
        <is>
          <t>1564885:eng</t>
        </is>
      </c>
      <c r="AV212" t="inlineStr">
        <is>
          <t>1619960</t>
        </is>
      </c>
      <c r="AW212" t="inlineStr">
        <is>
          <t>991003841939702656</t>
        </is>
      </c>
      <c r="AX212" t="inlineStr">
        <is>
          <t>991003841939702656</t>
        </is>
      </c>
      <c r="AY212" t="inlineStr">
        <is>
          <t>2262335380002656</t>
        </is>
      </c>
      <c r="AZ212" t="inlineStr">
        <is>
          <t>BOOK</t>
        </is>
      </c>
      <c r="BC212" t="inlineStr">
        <is>
          <t>32285000737386</t>
        </is>
      </c>
      <c r="BD212" t="inlineStr">
        <is>
          <t>893535655</t>
        </is>
      </c>
    </row>
    <row r="213">
      <c r="A213" t="inlineStr">
        <is>
          <t>No</t>
        </is>
      </c>
      <c r="B213" t="inlineStr">
        <is>
          <t>PG3385 .T74 1969</t>
        </is>
      </c>
      <c r="C213" t="inlineStr">
        <is>
          <t>0                      PG 3385000T  74          1969</t>
        </is>
      </c>
      <c r="D213" t="inlineStr">
        <is>
          <t>Moi vospominanii͡a. / [Vstupit statʹi͡a S. A. Rozanovoĭ, s. 5-24. Podgot. teksta i primech. O. A. Golinenko i dr.</t>
        </is>
      </c>
      <c r="F213" t="inlineStr">
        <is>
          <t>No</t>
        </is>
      </c>
      <c r="G213" t="inlineStr">
        <is>
          <t>1</t>
        </is>
      </c>
      <c r="H213" t="inlineStr">
        <is>
          <t>No</t>
        </is>
      </c>
      <c r="I213" t="inlineStr">
        <is>
          <t>No</t>
        </is>
      </c>
      <c r="J213" t="inlineStr">
        <is>
          <t>0</t>
        </is>
      </c>
      <c r="K213" t="inlineStr">
        <is>
          <t>Tolstoĭ, Ilʹi͡a Lʹvovich, graf, 1866-1933.</t>
        </is>
      </c>
      <c r="L213" t="inlineStr">
        <is>
          <t>Moskva : "Khudozh. lit.," 1969].</t>
        </is>
      </c>
      <c r="M213" t="inlineStr">
        <is>
          <t>1969</t>
        </is>
      </c>
      <c r="O213" t="inlineStr">
        <is>
          <t>rus</t>
        </is>
      </c>
      <c r="P213" t="inlineStr">
        <is>
          <t xml:space="preserve">xx </t>
        </is>
      </c>
      <c r="Q213" t="inlineStr">
        <is>
          <t>Serii͡a literaturnykh memuarov</t>
        </is>
      </c>
      <c r="R213" t="inlineStr">
        <is>
          <t xml:space="preserve">PG </t>
        </is>
      </c>
      <c r="S213" t="n">
        <v>4</v>
      </c>
      <c r="T213" t="n">
        <v>4</v>
      </c>
      <c r="U213" t="inlineStr">
        <is>
          <t>2010-09-22</t>
        </is>
      </c>
      <c r="V213" t="inlineStr">
        <is>
          <t>2010-09-22</t>
        </is>
      </c>
      <c r="W213" t="inlineStr">
        <is>
          <t>1994-05-17</t>
        </is>
      </c>
      <c r="X213" t="inlineStr">
        <is>
          <t>1994-05-17</t>
        </is>
      </c>
      <c r="Y213" t="n">
        <v>123</v>
      </c>
      <c r="Z213" t="n">
        <v>92</v>
      </c>
      <c r="AA213" t="n">
        <v>116</v>
      </c>
      <c r="AB213" t="n">
        <v>2</v>
      </c>
      <c r="AC213" t="n">
        <v>2</v>
      </c>
      <c r="AD213" t="n">
        <v>5</v>
      </c>
      <c r="AE213" t="n">
        <v>5</v>
      </c>
      <c r="AF213" t="n">
        <v>1</v>
      </c>
      <c r="AG213" t="n">
        <v>1</v>
      </c>
      <c r="AH213" t="n">
        <v>1</v>
      </c>
      <c r="AI213" t="n">
        <v>1</v>
      </c>
      <c r="AJ213" t="n">
        <v>3</v>
      </c>
      <c r="AK213" t="n">
        <v>3</v>
      </c>
      <c r="AL213" t="n">
        <v>1</v>
      </c>
      <c r="AM213" t="n">
        <v>1</v>
      </c>
      <c r="AN213" t="n">
        <v>0</v>
      </c>
      <c r="AO213" t="n">
        <v>0</v>
      </c>
      <c r="AP213" t="inlineStr">
        <is>
          <t>No</t>
        </is>
      </c>
      <c r="AQ213" t="inlineStr">
        <is>
          <t>Yes</t>
        </is>
      </c>
      <c r="AR213">
        <f>HYPERLINK("http://catalog.hathitrust.org/Record/001061186","HathiTrust Record")</f>
        <v/>
      </c>
      <c r="AS213">
        <f>HYPERLINK("https://creighton-primo.hosted.exlibrisgroup.com/primo-explore/search?tab=default_tab&amp;search_scope=EVERYTHING&amp;vid=01CRU&amp;lang=en_US&amp;offset=0&amp;query=any,contains,991005068689702656","Catalog Record")</f>
        <v/>
      </c>
      <c r="AT213">
        <f>HYPERLINK("http://www.worldcat.org/oclc/6985142","WorldCat Record")</f>
        <v/>
      </c>
      <c r="AU213" t="inlineStr">
        <is>
          <t>10793033836:rus</t>
        </is>
      </c>
      <c r="AV213" t="inlineStr">
        <is>
          <t>6985142</t>
        </is>
      </c>
      <c r="AW213" t="inlineStr">
        <is>
          <t>991005068689702656</t>
        </is>
      </c>
      <c r="AX213" t="inlineStr">
        <is>
          <t>991005068689702656</t>
        </is>
      </c>
      <c r="AY213" t="inlineStr">
        <is>
          <t>2269242480002656</t>
        </is>
      </c>
      <c r="AZ213" t="inlineStr">
        <is>
          <t>BOOK</t>
        </is>
      </c>
      <c r="BC213" t="inlineStr">
        <is>
          <t>32285001911261</t>
        </is>
      </c>
      <c r="BD213" t="inlineStr">
        <is>
          <t>893870461</t>
        </is>
      </c>
    </row>
    <row r="214">
      <c r="A214" t="inlineStr">
        <is>
          <t>No</t>
        </is>
      </c>
      <c r="B214" t="inlineStr">
        <is>
          <t>PG3385 .T853 1962</t>
        </is>
      </c>
      <c r="C214" t="inlineStr">
        <is>
          <t>0                      PG 3385000T  853         1962</t>
        </is>
      </c>
      <c r="D214" t="inlineStr">
        <is>
          <t>Tolstoy remembered by his son. Translated from the Russian by Moura Budberg.</t>
        </is>
      </c>
      <c r="F214" t="inlineStr">
        <is>
          <t>No</t>
        </is>
      </c>
      <c r="G214" t="inlineStr">
        <is>
          <t>1</t>
        </is>
      </c>
      <c r="H214" t="inlineStr">
        <is>
          <t>No</t>
        </is>
      </c>
      <c r="I214" t="inlineStr">
        <is>
          <t>No</t>
        </is>
      </c>
      <c r="J214" t="inlineStr">
        <is>
          <t>0</t>
        </is>
      </c>
      <c r="K214" t="inlineStr">
        <is>
          <t>Tolstoĭ, S. L. (Sergeĭ Lʹvovich), graf, 1863-1947.</t>
        </is>
      </c>
      <c r="L214" t="inlineStr">
        <is>
          <t>New York, Atheneum, 1962 [c1961]</t>
        </is>
      </c>
      <c r="M214" t="inlineStr">
        <is>
          <t>1962</t>
        </is>
      </c>
      <c r="N214" t="inlineStr">
        <is>
          <t>[1st American ed.]</t>
        </is>
      </c>
      <c r="O214" t="inlineStr">
        <is>
          <t>eng</t>
        </is>
      </c>
      <c r="P214" t="inlineStr">
        <is>
          <t>nyu</t>
        </is>
      </c>
      <c r="R214" t="inlineStr">
        <is>
          <t xml:space="preserve">PG </t>
        </is>
      </c>
      <c r="S214" t="n">
        <v>1</v>
      </c>
      <c r="T214" t="n">
        <v>1</v>
      </c>
      <c r="U214" t="inlineStr">
        <is>
          <t>2004-04-13</t>
        </is>
      </c>
      <c r="V214" t="inlineStr">
        <is>
          <t>2004-04-13</t>
        </is>
      </c>
      <c r="W214" t="inlineStr">
        <is>
          <t>1997-09-08</t>
        </is>
      </c>
      <c r="X214" t="inlineStr">
        <is>
          <t>1997-09-08</t>
        </is>
      </c>
      <c r="Y214" t="n">
        <v>461</v>
      </c>
      <c r="Z214" t="n">
        <v>450</v>
      </c>
      <c r="AA214" t="n">
        <v>579</v>
      </c>
      <c r="AB214" t="n">
        <v>2</v>
      </c>
      <c r="AC214" t="n">
        <v>2</v>
      </c>
      <c r="AD214" t="n">
        <v>11</v>
      </c>
      <c r="AE214" t="n">
        <v>19</v>
      </c>
      <c r="AF214" t="n">
        <v>4</v>
      </c>
      <c r="AG214" t="n">
        <v>8</v>
      </c>
      <c r="AH214" t="n">
        <v>3</v>
      </c>
      <c r="AI214" t="n">
        <v>6</v>
      </c>
      <c r="AJ214" t="n">
        <v>6</v>
      </c>
      <c r="AK214" t="n">
        <v>10</v>
      </c>
      <c r="AL214" t="n">
        <v>1</v>
      </c>
      <c r="AM214" t="n">
        <v>1</v>
      </c>
      <c r="AN214" t="n">
        <v>0</v>
      </c>
      <c r="AO214" t="n">
        <v>0</v>
      </c>
      <c r="AP214" t="inlineStr">
        <is>
          <t>No</t>
        </is>
      </c>
      <c r="AQ214" t="inlineStr">
        <is>
          <t>No</t>
        </is>
      </c>
      <c r="AS214">
        <f>HYPERLINK("https://creighton-primo.hosted.exlibrisgroup.com/primo-explore/search?tab=default_tab&amp;search_scope=EVERYTHING&amp;vid=01CRU&amp;lang=en_US&amp;offset=0&amp;query=any,contains,991003295759702656","Catalog Record")</f>
        <v/>
      </c>
      <c r="AT214">
        <f>HYPERLINK("http://www.worldcat.org/oclc/817866","WorldCat Record")</f>
        <v/>
      </c>
      <c r="AU214" t="inlineStr">
        <is>
          <t>50340525:eng</t>
        </is>
      </c>
      <c r="AV214" t="inlineStr">
        <is>
          <t>817866</t>
        </is>
      </c>
      <c r="AW214" t="inlineStr">
        <is>
          <t>991003295759702656</t>
        </is>
      </c>
      <c r="AX214" t="inlineStr">
        <is>
          <t>991003295759702656</t>
        </is>
      </c>
      <c r="AY214" t="inlineStr">
        <is>
          <t>2269549140002656</t>
        </is>
      </c>
      <c r="AZ214" t="inlineStr">
        <is>
          <t>BOOK</t>
        </is>
      </c>
      <c r="BC214" t="inlineStr">
        <is>
          <t>32285003199287</t>
        </is>
      </c>
      <c r="BD214" t="inlineStr">
        <is>
          <t>893604644</t>
        </is>
      </c>
    </row>
    <row r="215">
      <c r="A215" t="inlineStr">
        <is>
          <t>No</t>
        </is>
      </c>
      <c r="B215" t="inlineStr">
        <is>
          <t>PG3385 .T8713</t>
        </is>
      </c>
      <c r="C215" t="inlineStr">
        <is>
          <t>0                      PG 3385000T  8713</t>
        </is>
      </c>
      <c r="D215" t="inlineStr">
        <is>
          <t>Tolstoy. Translated from the French by Nancy Amphoux.</t>
        </is>
      </c>
      <c r="F215" t="inlineStr">
        <is>
          <t>No</t>
        </is>
      </c>
      <c r="G215" t="inlineStr">
        <is>
          <t>1</t>
        </is>
      </c>
      <c r="H215" t="inlineStr">
        <is>
          <t>No</t>
        </is>
      </c>
      <c r="I215" t="inlineStr">
        <is>
          <t>No</t>
        </is>
      </c>
      <c r="J215" t="inlineStr">
        <is>
          <t>0</t>
        </is>
      </c>
      <c r="K215" t="inlineStr">
        <is>
          <t>Troyat, Henri, 1911-2007.</t>
        </is>
      </c>
      <c r="L215" t="inlineStr">
        <is>
          <t>Garden City, N.Y., Doubleday, 1967.</t>
        </is>
      </c>
      <c r="M215" t="inlineStr">
        <is>
          <t>1967</t>
        </is>
      </c>
      <c r="N215" t="inlineStr">
        <is>
          <t>[1st ed.]</t>
        </is>
      </c>
      <c r="O215" t="inlineStr">
        <is>
          <t>eng</t>
        </is>
      </c>
      <c r="P215" t="inlineStr">
        <is>
          <t>nyu</t>
        </is>
      </c>
      <c r="R215" t="inlineStr">
        <is>
          <t xml:space="preserve">PG </t>
        </is>
      </c>
      <c r="S215" t="n">
        <v>1</v>
      </c>
      <c r="T215" t="n">
        <v>1</v>
      </c>
      <c r="U215" t="inlineStr">
        <is>
          <t>2004-04-01</t>
        </is>
      </c>
      <c r="V215" t="inlineStr">
        <is>
          <t>2004-04-01</t>
        </is>
      </c>
      <c r="W215" t="inlineStr">
        <is>
          <t>1997-09-08</t>
        </is>
      </c>
      <c r="X215" t="inlineStr">
        <is>
          <t>1997-09-08</t>
        </is>
      </c>
      <c r="Y215" t="n">
        <v>2253</v>
      </c>
      <c r="Z215" t="n">
        <v>2130</v>
      </c>
      <c r="AA215" t="n">
        <v>2627</v>
      </c>
      <c r="AB215" t="n">
        <v>18</v>
      </c>
      <c r="AC215" t="n">
        <v>24</v>
      </c>
      <c r="AD215" t="n">
        <v>48</v>
      </c>
      <c r="AE215" t="n">
        <v>55</v>
      </c>
      <c r="AF215" t="n">
        <v>20</v>
      </c>
      <c r="AG215" t="n">
        <v>21</v>
      </c>
      <c r="AH215" t="n">
        <v>8</v>
      </c>
      <c r="AI215" t="n">
        <v>9</v>
      </c>
      <c r="AJ215" t="n">
        <v>20</v>
      </c>
      <c r="AK215" t="n">
        <v>23</v>
      </c>
      <c r="AL215" t="n">
        <v>8</v>
      </c>
      <c r="AM215" t="n">
        <v>11</v>
      </c>
      <c r="AN215" t="n">
        <v>0</v>
      </c>
      <c r="AO215" t="n">
        <v>0</v>
      </c>
      <c r="AP215" t="inlineStr">
        <is>
          <t>No</t>
        </is>
      </c>
      <c r="AQ215" t="inlineStr">
        <is>
          <t>Yes</t>
        </is>
      </c>
      <c r="AR215">
        <f>HYPERLINK("http://catalog.hathitrust.org/Record/001110423","HathiTrust Record")</f>
        <v/>
      </c>
      <c r="AS215">
        <f>HYPERLINK("https://creighton-primo.hosted.exlibrisgroup.com/primo-explore/search?tab=default_tab&amp;search_scope=EVERYTHING&amp;vid=01CRU&amp;lang=en_US&amp;offset=0&amp;query=any,contains,991002328319702656","Catalog Record")</f>
        <v/>
      </c>
      <c r="AT215">
        <f>HYPERLINK("http://www.worldcat.org/oclc/321574","WorldCat Record")</f>
        <v/>
      </c>
      <c r="AU215" t="inlineStr">
        <is>
          <t>3372549086:eng</t>
        </is>
      </c>
      <c r="AV215" t="inlineStr">
        <is>
          <t>321574</t>
        </is>
      </c>
      <c r="AW215" t="inlineStr">
        <is>
          <t>991002328319702656</t>
        </is>
      </c>
      <c r="AX215" t="inlineStr">
        <is>
          <t>991002328319702656</t>
        </is>
      </c>
      <c r="AY215" t="inlineStr">
        <is>
          <t>2255780250002656</t>
        </is>
      </c>
      <c r="AZ215" t="inlineStr">
        <is>
          <t>BOOK</t>
        </is>
      </c>
      <c r="BC215" t="inlineStr">
        <is>
          <t>32285003199295</t>
        </is>
      </c>
      <c r="BD215" t="inlineStr">
        <is>
          <t>893352269</t>
        </is>
      </c>
    </row>
    <row r="216">
      <c r="A216" t="inlineStr">
        <is>
          <t>No</t>
        </is>
      </c>
      <c r="B216" t="inlineStr">
        <is>
          <t>PG3385 .W48 1988</t>
        </is>
      </c>
      <c r="C216" t="inlineStr">
        <is>
          <t>0                      PG 3385000W  48          1988</t>
        </is>
      </c>
      <c r="D216" t="inlineStr">
        <is>
          <t>Tolstoy / A.N. Wilson.</t>
        </is>
      </c>
      <c r="F216" t="inlineStr">
        <is>
          <t>No</t>
        </is>
      </c>
      <c r="G216" t="inlineStr">
        <is>
          <t>1</t>
        </is>
      </c>
      <c r="H216" t="inlineStr">
        <is>
          <t>No</t>
        </is>
      </c>
      <c r="I216" t="inlineStr">
        <is>
          <t>No</t>
        </is>
      </c>
      <c r="J216" t="inlineStr">
        <is>
          <t>0</t>
        </is>
      </c>
      <c r="K216" t="inlineStr">
        <is>
          <t>Wilson, A. N., 1950-</t>
        </is>
      </c>
      <c r="L216" t="inlineStr">
        <is>
          <t>New York : Norton, c1988.</t>
        </is>
      </c>
      <c r="M216" t="inlineStr">
        <is>
          <t>1988</t>
        </is>
      </c>
      <c r="N216" t="inlineStr">
        <is>
          <t>1st American ed.</t>
        </is>
      </c>
      <c r="O216" t="inlineStr">
        <is>
          <t>eng</t>
        </is>
      </c>
      <c r="P216" t="inlineStr">
        <is>
          <t>nyu</t>
        </is>
      </c>
      <c r="R216" t="inlineStr">
        <is>
          <t xml:space="preserve">PG </t>
        </is>
      </c>
      <c r="S216" t="n">
        <v>2</v>
      </c>
      <c r="T216" t="n">
        <v>2</v>
      </c>
      <c r="U216" t="inlineStr">
        <is>
          <t>1994-07-11</t>
        </is>
      </c>
      <c r="V216" t="inlineStr">
        <is>
          <t>1994-07-11</t>
        </is>
      </c>
      <c r="W216" t="inlineStr">
        <is>
          <t>1992-02-27</t>
        </is>
      </c>
      <c r="X216" t="inlineStr">
        <is>
          <t>1992-02-27</t>
        </is>
      </c>
      <c r="Y216" t="n">
        <v>1285</v>
      </c>
      <c r="Z216" t="n">
        <v>1228</v>
      </c>
      <c r="AA216" t="n">
        <v>1452</v>
      </c>
      <c r="AB216" t="n">
        <v>9</v>
      </c>
      <c r="AC216" t="n">
        <v>12</v>
      </c>
      <c r="AD216" t="n">
        <v>28</v>
      </c>
      <c r="AE216" t="n">
        <v>41</v>
      </c>
      <c r="AF216" t="n">
        <v>9</v>
      </c>
      <c r="AG216" t="n">
        <v>13</v>
      </c>
      <c r="AH216" t="n">
        <v>4</v>
      </c>
      <c r="AI216" t="n">
        <v>9</v>
      </c>
      <c r="AJ216" t="n">
        <v>13</v>
      </c>
      <c r="AK216" t="n">
        <v>20</v>
      </c>
      <c r="AL216" t="n">
        <v>6</v>
      </c>
      <c r="AM216" t="n">
        <v>9</v>
      </c>
      <c r="AN216" t="n">
        <v>0</v>
      </c>
      <c r="AO216" t="n">
        <v>0</v>
      </c>
      <c r="AP216" t="inlineStr">
        <is>
          <t>No</t>
        </is>
      </c>
      <c r="AQ216" t="inlineStr">
        <is>
          <t>No</t>
        </is>
      </c>
      <c r="AS216">
        <f>HYPERLINK("https://creighton-primo.hosted.exlibrisgroup.com/primo-explore/search?tab=default_tab&amp;search_scope=EVERYTHING&amp;vid=01CRU&amp;lang=en_US&amp;offset=0&amp;query=any,contains,991001272179702656","Catalog Record")</f>
        <v/>
      </c>
      <c r="AT216">
        <f>HYPERLINK("http://www.worldcat.org/oclc/17841887","WorldCat Record")</f>
        <v/>
      </c>
      <c r="AU216" t="inlineStr">
        <is>
          <t>45035:eng</t>
        </is>
      </c>
      <c r="AV216" t="inlineStr">
        <is>
          <t>17841887</t>
        </is>
      </c>
      <c r="AW216" t="inlineStr">
        <is>
          <t>991001272179702656</t>
        </is>
      </c>
      <c r="AX216" t="inlineStr">
        <is>
          <t>991001272179702656</t>
        </is>
      </c>
      <c r="AY216" t="inlineStr">
        <is>
          <t>2269111080002656</t>
        </is>
      </c>
      <c r="AZ216" t="inlineStr">
        <is>
          <t>BOOK</t>
        </is>
      </c>
      <c r="BC216" t="inlineStr">
        <is>
          <t>32285000978741</t>
        </is>
      </c>
      <c r="BD216" t="inlineStr">
        <is>
          <t>893503268</t>
        </is>
      </c>
    </row>
    <row r="217">
      <c r="A217" t="inlineStr">
        <is>
          <t>No</t>
        </is>
      </c>
      <c r="B217" t="inlineStr">
        <is>
          <t>PG3386 .M36</t>
        </is>
      </c>
      <c r="C217" t="inlineStr">
        <is>
          <t>0                      PG 3386000M  36</t>
        </is>
      </c>
      <c r="D217" t="inlineStr">
        <is>
          <t>Tolstoy : a collection of critical essays / edited by Ralph E. Matlaw.</t>
        </is>
      </c>
      <c r="F217" t="inlineStr">
        <is>
          <t>No</t>
        </is>
      </c>
      <c r="G217" t="inlineStr">
        <is>
          <t>1</t>
        </is>
      </c>
      <c r="H217" t="inlineStr">
        <is>
          <t>No</t>
        </is>
      </c>
      <c r="I217" t="inlineStr">
        <is>
          <t>No</t>
        </is>
      </c>
      <c r="J217" t="inlineStr">
        <is>
          <t>0</t>
        </is>
      </c>
      <c r="K217" t="inlineStr">
        <is>
          <t>Matlaw, Ralph E., compiler.</t>
        </is>
      </c>
      <c r="L217" t="inlineStr">
        <is>
          <t>Englewood Cliffs, N.J. : Prentice-Hall, [1967]</t>
        </is>
      </c>
      <c r="M217" t="inlineStr">
        <is>
          <t>1967</t>
        </is>
      </c>
      <c r="O217" t="inlineStr">
        <is>
          <t>eng</t>
        </is>
      </c>
      <c r="P217" t="inlineStr">
        <is>
          <t>nju</t>
        </is>
      </c>
      <c r="Q217" t="inlineStr">
        <is>
          <t>A Spectrum book.</t>
        </is>
      </c>
      <c r="R217" t="inlineStr">
        <is>
          <t xml:space="preserve">PG </t>
        </is>
      </c>
      <c r="S217" t="n">
        <v>10</v>
      </c>
      <c r="T217" t="n">
        <v>10</v>
      </c>
      <c r="U217" t="inlineStr">
        <is>
          <t>2004-04-20</t>
        </is>
      </c>
      <c r="V217" t="inlineStr">
        <is>
          <t>2004-04-20</t>
        </is>
      </c>
      <c r="W217" t="inlineStr">
        <is>
          <t>1991-09-16</t>
        </is>
      </c>
      <c r="X217" t="inlineStr">
        <is>
          <t>1991-09-16</t>
        </is>
      </c>
      <c r="Y217" t="n">
        <v>1909</v>
      </c>
      <c r="Z217" t="n">
        <v>1727</v>
      </c>
      <c r="AA217" t="n">
        <v>1733</v>
      </c>
      <c r="AB217" t="n">
        <v>11</v>
      </c>
      <c r="AC217" t="n">
        <v>11</v>
      </c>
      <c r="AD217" t="n">
        <v>48</v>
      </c>
      <c r="AE217" t="n">
        <v>48</v>
      </c>
      <c r="AF217" t="n">
        <v>20</v>
      </c>
      <c r="AG217" t="n">
        <v>20</v>
      </c>
      <c r="AH217" t="n">
        <v>8</v>
      </c>
      <c r="AI217" t="n">
        <v>8</v>
      </c>
      <c r="AJ217" t="n">
        <v>24</v>
      </c>
      <c r="AK217" t="n">
        <v>24</v>
      </c>
      <c r="AL217" t="n">
        <v>7</v>
      </c>
      <c r="AM217" t="n">
        <v>7</v>
      </c>
      <c r="AN217" t="n">
        <v>0</v>
      </c>
      <c r="AO217" t="n">
        <v>0</v>
      </c>
      <c r="AP217" t="inlineStr">
        <is>
          <t>No</t>
        </is>
      </c>
      <c r="AQ217" t="inlineStr">
        <is>
          <t>Yes</t>
        </is>
      </c>
      <c r="AR217">
        <f>HYPERLINK("http://catalog.hathitrust.org/Record/001061148","HathiTrust Record")</f>
        <v/>
      </c>
      <c r="AS217">
        <f>HYPERLINK("https://creighton-primo.hosted.exlibrisgroup.com/primo-explore/search?tab=default_tab&amp;search_scope=EVERYTHING&amp;vid=01CRU&amp;lang=en_US&amp;offset=0&amp;query=any,contains,991003952489702656","Catalog Record")</f>
        <v/>
      </c>
      <c r="AT217">
        <f>HYPERLINK("http://www.worldcat.org/oclc/1959187","WorldCat Record")</f>
        <v/>
      </c>
      <c r="AU217" t="inlineStr">
        <is>
          <t>144637205:eng</t>
        </is>
      </c>
      <c r="AV217" t="inlineStr">
        <is>
          <t>1959187</t>
        </is>
      </c>
      <c r="AW217" t="inlineStr">
        <is>
          <t>991003952489702656</t>
        </is>
      </c>
      <c r="AX217" t="inlineStr">
        <is>
          <t>991003952489702656</t>
        </is>
      </c>
      <c r="AY217" t="inlineStr">
        <is>
          <t>2265936810002656</t>
        </is>
      </c>
      <c r="AZ217" t="inlineStr">
        <is>
          <t>BOOK</t>
        </is>
      </c>
      <c r="BC217" t="inlineStr">
        <is>
          <t>32285000737394</t>
        </is>
      </c>
      <c r="BD217" t="inlineStr">
        <is>
          <t>893337179</t>
        </is>
      </c>
    </row>
    <row r="218">
      <c r="A218" t="inlineStr">
        <is>
          <t>No</t>
        </is>
      </c>
      <c r="B218" t="inlineStr">
        <is>
          <t>PG3409.5 .S6</t>
        </is>
      </c>
      <c r="C218" t="inlineStr">
        <is>
          <t>0                      PG 3409500S  6</t>
        </is>
      </c>
      <c r="D218" t="inlineStr">
        <is>
          <t>Tolstoy in prerevolutionary Russian criticism / Boris Sorokin.</t>
        </is>
      </c>
      <c r="F218" t="inlineStr">
        <is>
          <t>No</t>
        </is>
      </c>
      <c r="G218" t="inlineStr">
        <is>
          <t>1</t>
        </is>
      </c>
      <c r="H218" t="inlineStr">
        <is>
          <t>No</t>
        </is>
      </c>
      <c r="I218" t="inlineStr">
        <is>
          <t>No</t>
        </is>
      </c>
      <c r="J218" t="inlineStr">
        <is>
          <t>0</t>
        </is>
      </c>
      <c r="K218" t="inlineStr">
        <is>
          <t>Sorokin, Boris, 1922-</t>
        </is>
      </c>
      <c r="L218" t="inlineStr">
        <is>
          <t>[Columbus] : Ohio State University Press for Miami University, [1979]</t>
        </is>
      </c>
      <c r="M218" t="inlineStr">
        <is>
          <t>1979</t>
        </is>
      </c>
      <c r="O218" t="inlineStr">
        <is>
          <t>eng</t>
        </is>
      </c>
      <c r="P218" t="inlineStr">
        <is>
          <t>ohu</t>
        </is>
      </c>
      <c r="R218" t="inlineStr">
        <is>
          <t xml:space="preserve">PG </t>
        </is>
      </c>
      <c r="S218" t="n">
        <v>1</v>
      </c>
      <c r="T218" t="n">
        <v>1</v>
      </c>
      <c r="U218" t="inlineStr">
        <is>
          <t>2001-03-24</t>
        </is>
      </c>
      <c r="V218" t="inlineStr">
        <is>
          <t>2001-03-24</t>
        </is>
      </c>
      <c r="W218" t="inlineStr">
        <is>
          <t>1993-04-28</t>
        </is>
      </c>
      <c r="X218" t="inlineStr">
        <is>
          <t>1993-04-28</t>
        </is>
      </c>
      <c r="Y218" t="n">
        <v>423</v>
      </c>
      <c r="Z218" t="n">
        <v>328</v>
      </c>
      <c r="AA218" t="n">
        <v>345</v>
      </c>
      <c r="AB218" t="n">
        <v>4</v>
      </c>
      <c r="AC218" t="n">
        <v>4</v>
      </c>
      <c r="AD218" t="n">
        <v>11</v>
      </c>
      <c r="AE218" t="n">
        <v>11</v>
      </c>
      <c r="AF218" t="n">
        <v>4</v>
      </c>
      <c r="AG218" t="n">
        <v>4</v>
      </c>
      <c r="AH218" t="n">
        <v>2</v>
      </c>
      <c r="AI218" t="n">
        <v>2</v>
      </c>
      <c r="AJ218" t="n">
        <v>5</v>
      </c>
      <c r="AK218" t="n">
        <v>5</v>
      </c>
      <c r="AL218" t="n">
        <v>3</v>
      </c>
      <c r="AM218" t="n">
        <v>3</v>
      </c>
      <c r="AN218" t="n">
        <v>0</v>
      </c>
      <c r="AO218" t="n">
        <v>0</v>
      </c>
      <c r="AP218" t="inlineStr">
        <is>
          <t>No</t>
        </is>
      </c>
      <c r="AQ218" t="inlineStr">
        <is>
          <t>Yes</t>
        </is>
      </c>
      <c r="AR218">
        <f>HYPERLINK("http://catalog.hathitrust.org/Record/000258262","HathiTrust Record")</f>
        <v/>
      </c>
      <c r="AS218">
        <f>HYPERLINK("https://creighton-primo.hosted.exlibrisgroup.com/primo-explore/search?tab=default_tab&amp;search_scope=EVERYTHING&amp;vid=01CRU&amp;lang=en_US&amp;offset=0&amp;query=any,contains,991004677849702656","Catalog Record")</f>
        <v/>
      </c>
      <c r="AT218">
        <f>HYPERLINK("http://www.worldcat.org/oclc/4549491","WorldCat Record")</f>
        <v/>
      </c>
      <c r="AU218" t="inlineStr">
        <is>
          <t>475903:eng</t>
        </is>
      </c>
      <c r="AV218" t="inlineStr">
        <is>
          <t>4549491</t>
        </is>
      </c>
      <c r="AW218" t="inlineStr">
        <is>
          <t>991004677849702656</t>
        </is>
      </c>
      <c r="AX218" t="inlineStr">
        <is>
          <t>991004677849702656</t>
        </is>
      </c>
      <c r="AY218" t="inlineStr">
        <is>
          <t>2272629960002656</t>
        </is>
      </c>
      <c r="AZ218" t="inlineStr">
        <is>
          <t>BOOK</t>
        </is>
      </c>
      <c r="BB218" t="inlineStr">
        <is>
          <t>9780814202951</t>
        </is>
      </c>
      <c r="BC218" t="inlineStr">
        <is>
          <t>32285001649291</t>
        </is>
      </c>
      <c r="BD218" t="inlineStr">
        <is>
          <t>893719210</t>
        </is>
      </c>
    </row>
    <row r="219">
      <c r="A219" t="inlineStr">
        <is>
          <t>No</t>
        </is>
      </c>
      <c r="B219" t="inlineStr">
        <is>
          <t>PG3410 .B813 2001</t>
        </is>
      </c>
      <c r="C219" t="inlineStr">
        <is>
          <t>0                      PG 3410000B  813         2001</t>
        </is>
      </c>
      <c r="D219" t="inlineStr">
        <is>
          <t>The liberation of Tolstoy : a tale of two writers / Ivan Bunin ; edited, translated from the Russian, and with an introduction and notes by Thomas Gaiton Marullo and Vladimir T. Khmelkov.</t>
        </is>
      </c>
      <c r="F219" t="inlineStr">
        <is>
          <t>No</t>
        </is>
      </c>
      <c r="G219" t="inlineStr">
        <is>
          <t>1</t>
        </is>
      </c>
      <c r="H219" t="inlineStr">
        <is>
          <t>No</t>
        </is>
      </c>
      <c r="I219" t="inlineStr">
        <is>
          <t>No</t>
        </is>
      </c>
      <c r="J219" t="inlineStr">
        <is>
          <t>0</t>
        </is>
      </c>
      <c r="K219" t="inlineStr">
        <is>
          <t>Bunin, Ivan Alekseevich, 1870-1953.</t>
        </is>
      </c>
      <c r="L219" t="inlineStr">
        <is>
          <t>Evanston, Ill. : Northwestern University Press, 2001.</t>
        </is>
      </c>
      <c r="M219" t="inlineStr">
        <is>
          <t>2001</t>
        </is>
      </c>
      <c r="O219" t="inlineStr">
        <is>
          <t>eng</t>
        </is>
      </c>
      <c r="P219" t="inlineStr">
        <is>
          <t>ilu</t>
        </is>
      </c>
      <c r="Q219" t="inlineStr">
        <is>
          <t>Studies in Russian literature and theory</t>
        </is>
      </c>
      <c r="R219" t="inlineStr">
        <is>
          <t xml:space="preserve">PG </t>
        </is>
      </c>
      <c r="S219" t="n">
        <v>1</v>
      </c>
      <c r="T219" t="n">
        <v>1</v>
      </c>
      <c r="U219" t="inlineStr">
        <is>
          <t>2002-04-17</t>
        </is>
      </c>
      <c r="V219" t="inlineStr">
        <is>
          <t>2002-04-17</t>
        </is>
      </c>
      <c r="W219" t="inlineStr">
        <is>
          <t>2002-04-04</t>
        </is>
      </c>
      <c r="X219" t="inlineStr">
        <is>
          <t>2002-04-04</t>
        </is>
      </c>
      <c r="Y219" t="n">
        <v>406</v>
      </c>
      <c r="Z219" t="n">
        <v>368</v>
      </c>
      <c r="AA219" t="n">
        <v>370</v>
      </c>
      <c r="AB219" t="n">
        <v>2</v>
      </c>
      <c r="AC219" t="n">
        <v>2</v>
      </c>
      <c r="AD219" t="n">
        <v>20</v>
      </c>
      <c r="AE219" t="n">
        <v>20</v>
      </c>
      <c r="AF219" t="n">
        <v>9</v>
      </c>
      <c r="AG219" t="n">
        <v>9</v>
      </c>
      <c r="AH219" t="n">
        <v>7</v>
      </c>
      <c r="AI219" t="n">
        <v>7</v>
      </c>
      <c r="AJ219" t="n">
        <v>8</v>
      </c>
      <c r="AK219" t="n">
        <v>8</v>
      </c>
      <c r="AL219" t="n">
        <v>1</v>
      </c>
      <c r="AM219" t="n">
        <v>1</v>
      </c>
      <c r="AN219" t="n">
        <v>0</v>
      </c>
      <c r="AO219" t="n">
        <v>0</v>
      </c>
      <c r="AP219" t="inlineStr">
        <is>
          <t>No</t>
        </is>
      </c>
      <c r="AQ219" t="inlineStr">
        <is>
          <t>Yes</t>
        </is>
      </c>
      <c r="AR219">
        <f>HYPERLINK("http://catalog.hathitrust.org/Record/004172819","HathiTrust Record")</f>
        <v/>
      </c>
      <c r="AS219">
        <f>HYPERLINK("https://creighton-primo.hosted.exlibrisgroup.com/primo-explore/search?tab=default_tab&amp;search_scope=EVERYTHING&amp;vid=01CRU&amp;lang=en_US&amp;offset=0&amp;query=any,contains,991003767539702656","Catalog Record")</f>
        <v/>
      </c>
      <c r="AT219">
        <f>HYPERLINK("http://www.worldcat.org/oclc/44860742","WorldCat Record")</f>
        <v/>
      </c>
      <c r="AU219" t="inlineStr">
        <is>
          <t>58320483:eng</t>
        </is>
      </c>
      <c r="AV219" t="inlineStr">
        <is>
          <t>44860742</t>
        </is>
      </c>
      <c r="AW219" t="inlineStr">
        <is>
          <t>991003767539702656</t>
        </is>
      </c>
      <c r="AX219" t="inlineStr">
        <is>
          <t>991003767539702656</t>
        </is>
      </c>
      <c r="AY219" t="inlineStr">
        <is>
          <t>2255939300002656</t>
        </is>
      </c>
      <c r="AZ219" t="inlineStr">
        <is>
          <t>BOOK</t>
        </is>
      </c>
      <c r="BB219" t="inlineStr">
        <is>
          <t>9780810117525</t>
        </is>
      </c>
      <c r="BC219" t="inlineStr">
        <is>
          <t>32285004477294</t>
        </is>
      </c>
      <c r="BD219" t="inlineStr">
        <is>
          <t>893252759</t>
        </is>
      </c>
    </row>
    <row r="220">
      <c r="A220" t="inlineStr">
        <is>
          <t>No</t>
        </is>
      </c>
      <c r="B220" t="inlineStr">
        <is>
          <t>PG3410 .S5</t>
        </is>
      </c>
      <c r="C220" t="inlineStr">
        <is>
          <t>0                      PG 3410000S  5</t>
        </is>
      </c>
      <c r="D220" t="inlineStr">
        <is>
          <t>Introduction to Tolstoy's writings / by Ernest J. Simmons.</t>
        </is>
      </c>
      <c r="F220" t="inlineStr">
        <is>
          <t>No</t>
        </is>
      </c>
      <c r="G220" t="inlineStr">
        <is>
          <t>2</t>
        </is>
      </c>
      <c r="H220" t="inlineStr">
        <is>
          <t>No</t>
        </is>
      </c>
      <c r="I220" t="inlineStr">
        <is>
          <t>No</t>
        </is>
      </c>
      <c r="J220" t="inlineStr">
        <is>
          <t>0</t>
        </is>
      </c>
      <c r="K220" t="inlineStr">
        <is>
          <t>Simmons, Ernest J. (Ernest Joseph), 1903-1972.</t>
        </is>
      </c>
      <c r="L220" t="inlineStr">
        <is>
          <t>Chicago : University of Chicago Press, [1968]</t>
        </is>
      </c>
      <c r="M220" t="inlineStr">
        <is>
          <t>1968</t>
        </is>
      </c>
      <c r="O220" t="inlineStr">
        <is>
          <t>eng</t>
        </is>
      </c>
      <c r="P220" t="inlineStr">
        <is>
          <t>ilu</t>
        </is>
      </c>
      <c r="R220" t="inlineStr">
        <is>
          <t xml:space="preserve">PG </t>
        </is>
      </c>
      <c r="S220" t="n">
        <v>2</v>
      </c>
      <c r="T220" t="n">
        <v>2</v>
      </c>
      <c r="U220" t="inlineStr">
        <is>
          <t>1996-04-13</t>
        </is>
      </c>
      <c r="V220" t="inlineStr">
        <is>
          <t>1996-04-13</t>
        </is>
      </c>
      <c r="W220" t="inlineStr">
        <is>
          <t>1993-02-08</t>
        </is>
      </c>
      <c r="X220" t="inlineStr">
        <is>
          <t>1993-02-08</t>
        </is>
      </c>
      <c r="Y220" t="n">
        <v>1289</v>
      </c>
      <c r="Z220" t="n">
        <v>1135</v>
      </c>
      <c r="AA220" t="n">
        <v>1164</v>
      </c>
      <c r="AB220" t="n">
        <v>8</v>
      </c>
      <c r="AC220" t="n">
        <v>8</v>
      </c>
      <c r="AD220" t="n">
        <v>37</v>
      </c>
      <c r="AE220" t="n">
        <v>38</v>
      </c>
      <c r="AF220" t="n">
        <v>15</v>
      </c>
      <c r="AG220" t="n">
        <v>15</v>
      </c>
      <c r="AH220" t="n">
        <v>9</v>
      </c>
      <c r="AI220" t="n">
        <v>10</v>
      </c>
      <c r="AJ220" t="n">
        <v>17</v>
      </c>
      <c r="AK220" t="n">
        <v>18</v>
      </c>
      <c r="AL220" t="n">
        <v>6</v>
      </c>
      <c r="AM220" t="n">
        <v>6</v>
      </c>
      <c r="AN220" t="n">
        <v>0</v>
      </c>
      <c r="AO220" t="n">
        <v>0</v>
      </c>
      <c r="AP220" t="inlineStr">
        <is>
          <t>No</t>
        </is>
      </c>
      <c r="AQ220" t="inlineStr">
        <is>
          <t>Yes</t>
        </is>
      </c>
      <c r="AR220">
        <f>HYPERLINK("http://catalog.hathitrust.org/Record/001061173","HathiTrust Record")</f>
        <v/>
      </c>
      <c r="AS220">
        <f>HYPERLINK("https://creighton-primo.hosted.exlibrisgroup.com/primo-explore/search?tab=default_tab&amp;search_scope=EVERYTHING&amp;vid=01CRU&amp;lang=en_US&amp;offset=0&amp;query=any,contains,991001400019702656","Catalog Record")</f>
        <v/>
      </c>
      <c r="AT220">
        <f>HYPERLINK("http://www.worldcat.org/oclc/229025","WorldCat Record")</f>
        <v/>
      </c>
      <c r="AU220" t="inlineStr">
        <is>
          <t>321678477:eng</t>
        </is>
      </c>
      <c r="AV220" t="inlineStr">
        <is>
          <t>229025</t>
        </is>
      </c>
      <c r="AW220" t="inlineStr">
        <is>
          <t>991001400019702656</t>
        </is>
      </c>
      <c r="AX220" t="inlineStr">
        <is>
          <t>991001400019702656</t>
        </is>
      </c>
      <c r="AY220" t="inlineStr">
        <is>
          <t>2256433970002656</t>
        </is>
      </c>
      <c r="AZ220" t="inlineStr">
        <is>
          <t>BOOK</t>
        </is>
      </c>
      <c r="BC220" t="inlineStr">
        <is>
          <t>32285001524890</t>
        </is>
      </c>
      <c r="BD220" t="inlineStr">
        <is>
          <t>893772576</t>
        </is>
      </c>
    </row>
    <row r="221">
      <c r="A221" t="inlineStr">
        <is>
          <t>No</t>
        </is>
      </c>
      <c r="B221" t="inlineStr">
        <is>
          <t>PG3410 .W3</t>
        </is>
      </c>
      <c r="C221" t="inlineStr">
        <is>
          <t>0                      PG 3410000W  3</t>
        </is>
      </c>
      <c r="D221" t="inlineStr">
        <is>
          <t>Tolstoy's major fiction / Edward Wasiolek. --</t>
        </is>
      </c>
      <c r="F221" t="inlineStr">
        <is>
          <t>No</t>
        </is>
      </c>
      <c r="G221" t="inlineStr">
        <is>
          <t>1</t>
        </is>
      </c>
      <c r="H221" t="inlineStr">
        <is>
          <t>No</t>
        </is>
      </c>
      <c r="I221" t="inlineStr">
        <is>
          <t>No</t>
        </is>
      </c>
      <c r="J221" t="inlineStr">
        <is>
          <t>0</t>
        </is>
      </c>
      <c r="K221" t="inlineStr">
        <is>
          <t>Wasiolek, Edward.</t>
        </is>
      </c>
      <c r="L221" t="inlineStr">
        <is>
          <t>Chicago : University of Chicago Press, 1978.</t>
        </is>
      </c>
      <c r="M221" t="inlineStr">
        <is>
          <t>1978</t>
        </is>
      </c>
      <c r="O221" t="inlineStr">
        <is>
          <t>eng</t>
        </is>
      </c>
      <c r="P221" t="inlineStr">
        <is>
          <t>ilu</t>
        </is>
      </c>
      <c r="R221" t="inlineStr">
        <is>
          <t xml:space="preserve">PG </t>
        </is>
      </c>
      <c r="S221" t="n">
        <v>4</v>
      </c>
      <c r="T221" t="n">
        <v>4</v>
      </c>
      <c r="U221" t="inlineStr">
        <is>
          <t>2004-09-13</t>
        </is>
      </c>
      <c r="V221" t="inlineStr">
        <is>
          <t>2004-09-13</t>
        </is>
      </c>
      <c r="W221" t="inlineStr">
        <is>
          <t>1993-02-24</t>
        </is>
      </c>
      <c r="X221" t="inlineStr">
        <is>
          <t>1993-02-24</t>
        </is>
      </c>
      <c r="Y221" t="n">
        <v>852</v>
      </c>
      <c r="Z221" t="n">
        <v>712</v>
      </c>
      <c r="AA221" t="n">
        <v>712</v>
      </c>
      <c r="AB221" t="n">
        <v>4</v>
      </c>
      <c r="AC221" t="n">
        <v>4</v>
      </c>
      <c r="AD221" t="n">
        <v>30</v>
      </c>
      <c r="AE221" t="n">
        <v>30</v>
      </c>
      <c r="AF221" t="n">
        <v>12</v>
      </c>
      <c r="AG221" t="n">
        <v>12</v>
      </c>
      <c r="AH221" t="n">
        <v>7</v>
      </c>
      <c r="AI221" t="n">
        <v>7</v>
      </c>
      <c r="AJ221" t="n">
        <v>15</v>
      </c>
      <c r="AK221" t="n">
        <v>15</v>
      </c>
      <c r="AL221" t="n">
        <v>3</v>
      </c>
      <c r="AM221" t="n">
        <v>3</v>
      </c>
      <c r="AN221" t="n">
        <v>0</v>
      </c>
      <c r="AO221" t="n">
        <v>0</v>
      </c>
      <c r="AP221" t="inlineStr">
        <is>
          <t>No</t>
        </is>
      </c>
      <c r="AQ221" t="inlineStr">
        <is>
          <t>No</t>
        </is>
      </c>
      <c r="AS221">
        <f>HYPERLINK("https://creighton-primo.hosted.exlibrisgroup.com/primo-explore/search?tab=default_tab&amp;search_scope=EVERYTHING&amp;vid=01CRU&amp;lang=en_US&amp;offset=0&amp;query=any,contains,991004376019702656","Catalog Record")</f>
        <v/>
      </c>
      <c r="AT221">
        <f>HYPERLINK("http://www.worldcat.org/oclc/3205096","WorldCat Record")</f>
        <v/>
      </c>
      <c r="AU221" t="inlineStr">
        <is>
          <t>8400553:eng</t>
        </is>
      </c>
      <c r="AV221" t="inlineStr">
        <is>
          <t>3205096</t>
        </is>
      </c>
      <c r="AW221" t="inlineStr">
        <is>
          <t>991004376019702656</t>
        </is>
      </c>
      <c r="AX221" t="inlineStr">
        <is>
          <t>991004376019702656</t>
        </is>
      </c>
      <c r="AY221" t="inlineStr">
        <is>
          <t>2269294420002656</t>
        </is>
      </c>
      <c r="AZ221" t="inlineStr">
        <is>
          <t>BOOK</t>
        </is>
      </c>
      <c r="BB221" t="inlineStr">
        <is>
          <t>9780226873978</t>
        </is>
      </c>
      <c r="BC221" t="inlineStr">
        <is>
          <t>32285001536886</t>
        </is>
      </c>
      <c r="BD221" t="inlineStr">
        <is>
          <t>893628128</t>
        </is>
      </c>
    </row>
    <row r="222">
      <c r="A222" t="inlineStr">
        <is>
          <t>No</t>
        </is>
      </c>
      <c r="B222" t="inlineStr">
        <is>
          <t>PG3415.H5 B4 1953a</t>
        </is>
      </c>
      <c r="C222" t="inlineStr">
        <is>
          <t>0                      PG 3415000H  5                  B  4           1953a</t>
        </is>
      </c>
      <c r="D222" t="inlineStr">
        <is>
          <t>The hedgehog and the fox : an essay on Tolstoy's view of history / by Isaiah Berlin.</t>
        </is>
      </c>
      <c r="F222" t="inlineStr">
        <is>
          <t>No</t>
        </is>
      </c>
      <c r="G222" t="inlineStr">
        <is>
          <t>1</t>
        </is>
      </c>
      <c r="H222" t="inlineStr">
        <is>
          <t>No</t>
        </is>
      </c>
      <c r="I222" t="inlineStr">
        <is>
          <t>No</t>
        </is>
      </c>
      <c r="J222" t="inlineStr">
        <is>
          <t>0</t>
        </is>
      </c>
      <c r="K222" t="inlineStr">
        <is>
          <t>Berlin, Isaiah, 1909-1997.</t>
        </is>
      </c>
      <c r="L222" t="inlineStr">
        <is>
          <t>London : Weidenfeld &amp; Nicolson, 1953 (1954 printing).</t>
        </is>
      </c>
      <c r="M222" t="inlineStr">
        <is>
          <t>1953</t>
        </is>
      </c>
      <c r="O222" t="inlineStr">
        <is>
          <t>eng</t>
        </is>
      </c>
      <c r="P222" t="inlineStr">
        <is>
          <t>enk</t>
        </is>
      </c>
      <c r="R222" t="inlineStr">
        <is>
          <t xml:space="preserve">PG </t>
        </is>
      </c>
      <c r="S222" t="n">
        <v>3</v>
      </c>
      <c r="T222" t="n">
        <v>3</v>
      </c>
      <c r="U222" t="inlineStr">
        <is>
          <t>2001-06-07</t>
        </is>
      </c>
      <c r="V222" t="inlineStr">
        <is>
          <t>2001-06-07</t>
        </is>
      </c>
      <c r="W222" t="inlineStr">
        <is>
          <t>1997-09-08</t>
        </is>
      </c>
      <c r="X222" t="inlineStr">
        <is>
          <t>1997-09-08</t>
        </is>
      </c>
      <c r="Y222" t="n">
        <v>112</v>
      </c>
      <c r="Z222" t="n">
        <v>53</v>
      </c>
      <c r="AA222" t="n">
        <v>1196</v>
      </c>
      <c r="AB222" t="n">
        <v>2</v>
      </c>
      <c r="AC222" t="n">
        <v>10</v>
      </c>
      <c r="AD222" t="n">
        <v>3</v>
      </c>
      <c r="AE222" t="n">
        <v>51</v>
      </c>
      <c r="AF222" t="n">
        <v>1</v>
      </c>
      <c r="AG222" t="n">
        <v>20</v>
      </c>
      <c r="AH222" t="n">
        <v>0</v>
      </c>
      <c r="AI222" t="n">
        <v>10</v>
      </c>
      <c r="AJ222" t="n">
        <v>1</v>
      </c>
      <c r="AK222" t="n">
        <v>21</v>
      </c>
      <c r="AL222" t="n">
        <v>1</v>
      </c>
      <c r="AM222" t="n">
        <v>9</v>
      </c>
      <c r="AN222" t="n">
        <v>0</v>
      </c>
      <c r="AO222" t="n">
        <v>2</v>
      </c>
      <c r="AP222" t="inlineStr">
        <is>
          <t>No</t>
        </is>
      </c>
      <c r="AQ222" t="inlineStr">
        <is>
          <t>Yes</t>
        </is>
      </c>
      <c r="AR222">
        <f>HYPERLINK("http://catalog.hathitrust.org/Record/001730376","HathiTrust Record")</f>
        <v/>
      </c>
      <c r="AS222">
        <f>HYPERLINK("https://creighton-primo.hosted.exlibrisgroup.com/primo-explore/search?tab=default_tab&amp;search_scope=EVERYTHING&amp;vid=01CRU&amp;lang=en_US&amp;offset=0&amp;query=any,contains,991000448789702656","Catalog Record")</f>
        <v/>
      </c>
      <c r="AT222">
        <f>HYPERLINK("http://www.worldcat.org/oclc/10872907","WorldCat Record")</f>
        <v/>
      </c>
      <c r="AU222" t="inlineStr">
        <is>
          <t>138394554:eng</t>
        </is>
      </c>
      <c r="AV222" t="inlineStr">
        <is>
          <t>10872907</t>
        </is>
      </c>
      <c r="AW222" t="inlineStr">
        <is>
          <t>991000448789702656</t>
        </is>
      </c>
      <c r="AX222" t="inlineStr">
        <is>
          <t>991000448789702656</t>
        </is>
      </c>
      <c r="AY222" t="inlineStr">
        <is>
          <t>2258092470002656</t>
        </is>
      </c>
      <c r="AZ222" t="inlineStr">
        <is>
          <t>BOOK</t>
        </is>
      </c>
      <c r="BC222" t="inlineStr">
        <is>
          <t>32285003199345</t>
        </is>
      </c>
      <c r="BD222" t="inlineStr">
        <is>
          <t>893333480</t>
        </is>
      </c>
    </row>
    <row r="223">
      <c r="A223" t="inlineStr">
        <is>
          <t>No</t>
        </is>
      </c>
      <c r="B223" t="inlineStr">
        <is>
          <t>PG3415.P5 S513</t>
        </is>
      </c>
      <c r="C223" t="inlineStr">
        <is>
          <t>0                      PG 3415000P  5                  S  513</t>
        </is>
      </c>
      <c r="D223" t="inlineStr">
        <is>
          <t>Dostoevsky, Tolstoy, and Nietzsche / Lev Shestov ; with an introduction by Bernard Martin.</t>
        </is>
      </c>
      <c r="F223" t="inlineStr">
        <is>
          <t>No</t>
        </is>
      </c>
      <c r="G223" t="inlineStr">
        <is>
          <t>1</t>
        </is>
      </c>
      <c r="H223" t="inlineStr">
        <is>
          <t>No</t>
        </is>
      </c>
      <c r="I223" t="inlineStr">
        <is>
          <t>No</t>
        </is>
      </c>
      <c r="J223" t="inlineStr">
        <is>
          <t>0</t>
        </is>
      </c>
      <c r="K223" t="inlineStr">
        <is>
          <t>Shestov, Lev, 1866-1938.</t>
        </is>
      </c>
      <c r="L223" t="inlineStr">
        <is>
          <t>[Athens] : Ohio University Press, [1969]</t>
        </is>
      </c>
      <c r="M223" t="inlineStr">
        <is>
          <t>1969</t>
        </is>
      </c>
      <c r="O223" t="inlineStr">
        <is>
          <t>eng</t>
        </is>
      </c>
      <c r="P223" t="inlineStr">
        <is>
          <t>ohu</t>
        </is>
      </c>
      <c r="R223" t="inlineStr">
        <is>
          <t xml:space="preserve">PG </t>
        </is>
      </c>
      <c r="S223" t="n">
        <v>6</v>
      </c>
      <c r="T223" t="n">
        <v>6</v>
      </c>
      <c r="U223" t="inlineStr">
        <is>
          <t>2004-03-30</t>
        </is>
      </c>
      <c r="V223" t="inlineStr">
        <is>
          <t>2004-03-30</t>
        </is>
      </c>
      <c r="W223" t="inlineStr">
        <is>
          <t>1993-02-08</t>
        </is>
      </c>
      <c r="X223" t="inlineStr">
        <is>
          <t>1993-02-08</t>
        </is>
      </c>
      <c r="Y223" t="n">
        <v>1023</v>
      </c>
      <c r="Z223" t="n">
        <v>910</v>
      </c>
      <c r="AA223" t="n">
        <v>919</v>
      </c>
      <c r="AB223" t="n">
        <v>12</v>
      </c>
      <c r="AC223" t="n">
        <v>12</v>
      </c>
      <c r="AD223" t="n">
        <v>43</v>
      </c>
      <c r="AE223" t="n">
        <v>43</v>
      </c>
      <c r="AF223" t="n">
        <v>19</v>
      </c>
      <c r="AG223" t="n">
        <v>19</v>
      </c>
      <c r="AH223" t="n">
        <v>7</v>
      </c>
      <c r="AI223" t="n">
        <v>7</v>
      </c>
      <c r="AJ223" t="n">
        <v>19</v>
      </c>
      <c r="AK223" t="n">
        <v>19</v>
      </c>
      <c r="AL223" t="n">
        <v>9</v>
      </c>
      <c r="AM223" t="n">
        <v>9</v>
      </c>
      <c r="AN223" t="n">
        <v>0</v>
      </c>
      <c r="AO223" t="n">
        <v>0</v>
      </c>
      <c r="AP223" t="inlineStr">
        <is>
          <t>No</t>
        </is>
      </c>
      <c r="AQ223" t="inlineStr">
        <is>
          <t>Yes</t>
        </is>
      </c>
      <c r="AR223">
        <f>HYPERLINK("http://catalog.hathitrust.org/Record/001061169","HathiTrust Record")</f>
        <v/>
      </c>
      <c r="AS223">
        <f>HYPERLINK("https://creighton-primo.hosted.exlibrisgroup.com/primo-explore/search?tab=default_tab&amp;search_scope=EVERYTHING&amp;vid=01CRU&amp;lang=en_US&amp;offset=0&amp;query=any,contains,991001929109702656","Catalog Record")</f>
        <v/>
      </c>
      <c r="AT223">
        <f>HYPERLINK("http://www.worldcat.org/oclc/248135","WorldCat Record")</f>
        <v/>
      </c>
      <c r="AU223" t="inlineStr">
        <is>
          <t>2908644687:eng</t>
        </is>
      </c>
      <c r="AV223" t="inlineStr">
        <is>
          <t>248135</t>
        </is>
      </c>
      <c r="AW223" t="inlineStr">
        <is>
          <t>991001929109702656</t>
        </is>
      </c>
      <c r="AX223" t="inlineStr">
        <is>
          <t>991001929109702656</t>
        </is>
      </c>
      <c r="AY223" t="inlineStr">
        <is>
          <t>2257770860002656</t>
        </is>
      </c>
      <c r="AZ223" t="inlineStr">
        <is>
          <t>BOOK</t>
        </is>
      </c>
      <c r="BB223" t="inlineStr">
        <is>
          <t>9780821400531</t>
        </is>
      </c>
      <c r="BC223" t="inlineStr">
        <is>
          <t>32285001524916</t>
        </is>
      </c>
      <c r="BD223" t="inlineStr">
        <is>
          <t>893497551</t>
        </is>
      </c>
    </row>
    <row r="224">
      <c r="A224" t="inlineStr">
        <is>
          <t>No</t>
        </is>
      </c>
      <c r="B224" t="inlineStr">
        <is>
          <t>PG3421 .A13 1970</t>
        </is>
      </c>
      <c r="C224" t="inlineStr">
        <is>
          <t>0                      PG 3421000A  13          1970</t>
        </is>
      </c>
      <c r="D224" t="inlineStr">
        <is>
          <t>The novels of Ivan Turgenev / [translated from the Russian by Constance Garnett. London, W. Heinemann, 1894-99.</t>
        </is>
      </c>
      <c r="F224" t="inlineStr">
        <is>
          <t>Yes</t>
        </is>
      </c>
      <c r="G224" t="inlineStr">
        <is>
          <t>1</t>
        </is>
      </c>
      <c r="H224" t="inlineStr">
        <is>
          <t>Yes</t>
        </is>
      </c>
      <c r="I224" t="inlineStr">
        <is>
          <t>No</t>
        </is>
      </c>
      <c r="J224" t="inlineStr">
        <is>
          <t>0</t>
        </is>
      </c>
      <c r="K224" t="inlineStr">
        <is>
          <t>Turgenev, Ivan Sergeevich, 1818-1883.</t>
        </is>
      </c>
      <c r="L224" t="inlineStr">
        <is>
          <t>New York : AMS Press, 1970]</t>
        </is>
      </c>
      <c r="M224" t="inlineStr">
        <is>
          <t>1970</t>
        </is>
      </c>
      <c r="O224" t="inlineStr">
        <is>
          <t>eng</t>
        </is>
      </c>
      <c r="P224" t="inlineStr">
        <is>
          <t>nyu</t>
        </is>
      </c>
      <c r="R224" t="inlineStr">
        <is>
          <t xml:space="preserve">PG </t>
        </is>
      </c>
      <c r="S224" t="n">
        <v>1</v>
      </c>
      <c r="T224" t="n">
        <v>9</v>
      </c>
      <c r="U224" t="inlineStr">
        <is>
          <t>2001-03-01</t>
        </is>
      </c>
      <c r="V224" t="inlineStr">
        <is>
          <t>2007-05-21</t>
        </is>
      </c>
      <c r="W224" t="inlineStr">
        <is>
          <t>1991-11-07</t>
        </is>
      </c>
      <c r="X224" t="inlineStr">
        <is>
          <t>1991-11-07</t>
        </is>
      </c>
      <c r="Y224" t="n">
        <v>170</v>
      </c>
      <c r="Z224" t="n">
        <v>161</v>
      </c>
      <c r="AA224" t="n">
        <v>177</v>
      </c>
      <c r="AB224" t="n">
        <v>1</v>
      </c>
      <c r="AC224" t="n">
        <v>1</v>
      </c>
      <c r="AD224" t="n">
        <v>3</v>
      </c>
      <c r="AE224" t="n">
        <v>3</v>
      </c>
      <c r="AF224" t="n">
        <v>0</v>
      </c>
      <c r="AG224" t="n">
        <v>0</v>
      </c>
      <c r="AH224" t="n">
        <v>2</v>
      </c>
      <c r="AI224" t="n">
        <v>2</v>
      </c>
      <c r="AJ224" t="n">
        <v>2</v>
      </c>
      <c r="AK224" t="n">
        <v>2</v>
      </c>
      <c r="AL224" t="n">
        <v>0</v>
      </c>
      <c r="AM224" t="n">
        <v>0</v>
      </c>
      <c r="AN224" t="n">
        <v>0</v>
      </c>
      <c r="AO224" t="n">
        <v>0</v>
      </c>
      <c r="AP224" t="inlineStr">
        <is>
          <t>No</t>
        </is>
      </c>
      <c r="AQ224" t="inlineStr">
        <is>
          <t>Yes</t>
        </is>
      </c>
      <c r="AR224">
        <f>HYPERLINK("http://catalog.hathitrust.org/Record/009383662","HathiTrust Record")</f>
        <v/>
      </c>
      <c r="AS224">
        <f>HYPERLINK("https://creighton-primo.hosted.exlibrisgroup.com/primo-explore/search?tab=default_tab&amp;search_scope=EVERYTHING&amp;vid=01CRU&amp;lang=en_US&amp;offset=0&amp;query=any,contains,991000158429702656","Catalog Record")</f>
        <v/>
      </c>
      <c r="AT224">
        <f>HYPERLINK("http://www.worldcat.org/oclc/60679","WorldCat Record")</f>
        <v/>
      </c>
      <c r="AU224" t="inlineStr">
        <is>
          <t>8525003:eng</t>
        </is>
      </c>
      <c r="AV224" t="inlineStr">
        <is>
          <t>60679</t>
        </is>
      </c>
      <c r="AW224" t="inlineStr">
        <is>
          <t>991000158429702656</t>
        </is>
      </c>
      <c r="AX224" t="inlineStr">
        <is>
          <t>991000158429702656</t>
        </is>
      </c>
      <c r="AY224" t="inlineStr">
        <is>
          <t>2271709150002656</t>
        </is>
      </c>
      <c r="AZ224" t="inlineStr">
        <is>
          <t>BOOK</t>
        </is>
      </c>
      <c r="BB224" t="inlineStr">
        <is>
          <t>9780404019006</t>
        </is>
      </c>
      <c r="BC224" t="inlineStr">
        <is>
          <t>32285000797018</t>
        </is>
      </c>
      <c r="BD224" t="inlineStr">
        <is>
          <t>893508565</t>
        </is>
      </c>
    </row>
    <row r="225">
      <c r="A225" t="inlineStr">
        <is>
          <t>No</t>
        </is>
      </c>
      <c r="B225" t="inlineStr">
        <is>
          <t>PG3421 .A13 1970 V.10</t>
        </is>
      </c>
      <c r="C225" t="inlineStr">
        <is>
          <t>0                      PG 3421000A  13          1970                                        V.10</t>
        </is>
      </c>
      <c r="D225" t="inlineStr">
        <is>
          <t>The novels of Ivan Turgenev / [translated from the Russian by Constance Garnett. London, W. Heinemann, 1894-99.</t>
        </is>
      </c>
      <c r="E225" t="inlineStr">
        <is>
          <t>V.10*</t>
        </is>
      </c>
      <c r="F225" t="inlineStr">
        <is>
          <t>Yes</t>
        </is>
      </c>
      <c r="G225" t="inlineStr">
        <is>
          <t>1</t>
        </is>
      </c>
      <c r="H225" t="inlineStr">
        <is>
          <t>No</t>
        </is>
      </c>
      <c r="I225" t="inlineStr">
        <is>
          <t>No</t>
        </is>
      </c>
      <c r="J225" t="inlineStr">
        <is>
          <t>0</t>
        </is>
      </c>
      <c r="K225" t="inlineStr">
        <is>
          <t>Turgenev, Ivan Sergeevich, 1818-1883.</t>
        </is>
      </c>
      <c r="L225" t="inlineStr">
        <is>
          <t>New York : AMS Press, 1970]</t>
        </is>
      </c>
      <c r="M225" t="inlineStr">
        <is>
          <t>1970</t>
        </is>
      </c>
      <c r="O225" t="inlineStr">
        <is>
          <t>eng</t>
        </is>
      </c>
      <c r="P225" t="inlineStr">
        <is>
          <t>nyu</t>
        </is>
      </c>
      <c r="R225" t="inlineStr">
        <is>
          <t xml:space="preserve">PG </t>
        </is>
      </c>
      <c r="S225" t="n">
        <v>0</v>
      </c>
      <c r="T225" t="n">
        <v>9</v>
      </c>
      <c r="V225" t="inlineStr">
        <is>
          <t>2007-05-21</t>
        </is>
      </c>
      <c r="W225" t="inlineStr">
        <is>
          <t>1991-11-07</t>
        </is>
      </c>
      <c r="X225" t="inlineStr">
        <is>
          <t>1991-11-07</t>
        </is>
      </c>
      <c r="Y225" t="n">
        <v>170</v>
      </c>
      <c r="Z225" t="n">
        <v>161</v>
      </c>
      <c r="AA225" t="n">
        <v>177</v>
      </c>
      <c r="AB225" t="n">
        <v>1</v>
      </c>
      <c r="AC225" t="n">
        <v>1</v>
      </c>
      <c r="AD225" t="n">
        <v>3</v>
      </c>
      <c r="AE225" t="n">
        <v>3</v>
      </c>
      <c r="AF225" t="n">
        <v>0</v>
      </c>
      <c r="AG225" t="n">
        <v>0</v>
      </c>
      <c r="AH225" t="n">
        <v>2</v>
      </c>
      <c r="AI225" t="n">
        <v>2</v>
      </c>
      <c r="AJ225" t="n">
        <v>2</v>
      </c>
      <c r="AK225" t="n">
        <v>2</v>
      </c>
      <c r="AL225" t="n">
        <v>0</v>
      </c>
      <c r="AM225" t="n">
        <v>0</v>
      </c>
      <c r="AN225" t="n">
        <v>0</v>
      </c>
      <c r="AO225" t="n">
        <v>0</v>
      </c>
      <c r="AP225" t="inlineStr">
        <is>
          <t>No</t>
        </is>
      </c>
      <c r="AQ225" t="inlineStr">
        <is>
          <t>Yes</t>
        </is>
      </c>
      <c r="AR225">
        <f>HYPERLINK("http://catalog.hathitrust.org/Record/009383662","HathiTrust Record")</f>
        <v/>
      </c>
      <c r="AS225">
        <f>HYPERLINK("https://creighton-primo.hosted.exlibrisgroup.com/primo-explore/search?tab=default_tab&amp;search_scope=EVERYTHING&amp;vid=01CRU&amp;lang=en_US&amp;offset=0&amp;query=any,contains,991000158429702656","Catalog Record")</f>
        <v/>
      </c>
      <c r="AT225">
        <f>HYPERLINK("http://www.worldcat.org/oclc/60679","WorldCat Record")</f>
        <v/>
      </c>
      <c r="AU225" t="inlineStr">
        <is>
          <t>8525003:eng</t>
        </is>
      </c>
      <c r="AV225" t="inlineStr">
        <is>
          <t>60679</t>
        </is>
      </c>
      <c r="AW225" t="inlineStr">
        <is>
          <t>991000158429702656</t>
        </is>
      </c>
      <c r="AX225" t="inlineStr">
        <is>
          <t>991000158429702656</t>
        </is>
      </c>
      <c r="AY225" t="inlineStr">
        <is>
          <t>2271709150002656</t>
        </is>
      </c>
      <c r="AZ225" t="inlineStr">
        <is>
          <t>BOOK</t>
        </is>
      </c>
      <c r="BB225" t="inlineStr">
        <is>
          <t>9780404019006</t>
        </is>
      </c>
      <c r="BC225" t="inlineStr">
        <is>
          <t>32285000797109</t>
        </is>
      </c>
      <c r="BD225" t="inlineStr">
        <is>
          <t>893515063</t>
        </is>
      </c>
    </row>
    <row r="226">
      <c r="A226" t="inlineStr">
        <is>
          <t>No</t>
        </is>
      </c>
      <c r="B226" t="inlineStr">
        <is>
          <t>PG3421 .A13 1970 V.11</t>
        </is>
      </c>
      <c r="C226" t="inlineStr">
        <is>
          <t>0                      PG 3421000A  13          1970                                        V.11</t>
        </is>
      </c>
      <c r="D226" t="inlineStr">
        <is>
          <t>The novels of Ivan Turgenev / [translated from the Russian by Constance Garnett. London, W. Heinemann, 1894-99.</t>
        </is>
      </c>
      <c r="E226" t="inlineStr">
        <is>
          <t>V.11*</t>
        </is>
      </c>
      <c r="F226" t="inlineStr">
        <is>
          <t>Yes</t>
        </is>
      </c>
      <c r="G226" t="inlineStr">
        <is>
          <t>1</t>
        </is>
      </c>
      <c r="H226" t="inlineStr">
        <is>
          <t>No</t>
        </is>
      </c>
      <c r="I226" t="inlineStr">
        <is>
          <t>No</t>
        </is>
      </c>
      <c r="J226" t="inlineStr">
        <is>
          <t>0</t>
        </is>
      </c>
      <c r="K226" t="inlineStr">
        <is>
          <t>Turgenev, Ivan Sergeevich, 1818-1883.</t>
        </is>
      </c>
      <c r="L226" t="inlineStr">
        <is>
          <t>New York : AMS Press, 1970]</t>
        </is>
      </c>
      <c r="M226" t="inlineStr">
        <is>
          <t>1970</t>
        </is>
      </c>
      <c r="O226" t="inlineStr">
        <is>
          <t>eng</t>
        </is>
      </c>
      <c r="P226" t="inlineStr">
        <is>
          <t>nyu</t>
        </is>
      </c>
      <c r="R226" t="inlineStr">
        <is>
          <t xml:space="preserve">PG </t>
        </is>
      </c>
      <c r="S226" t="n">
        <v>0</v>
      </c>
      <c r="T226" t="n">
        <v>9</v>
      </c>
      <c r="V226" t="inlineStr">
        <is>
          <t>2007-05-21</t>
        </is>
      </c>
      <c r="W226" t="inlineStr">
        <is>
          <t>1991-11-07</t>
        </is>
      </c>
      <c r="X226" t="inlineStr">
        <is>
          <t>1991-11-07</t>
        </is>
      </c>
      <c r="Y226" t="n">
        <v>170</v>
      </c>
      <c r="Z226" t="n">
        <v>161</v>
      </c>
      <c r="AA226" t="n">
        <v>177</v>
      </c>
      <c r="AB226" t="n">
        <v>1</v>
      </c>
      <c r="AC226" t="n">
        <v>1</v>
      </c>
      <c r="AD226" t="n">
        <v>3</v>
      </c>
      <c r="AE226" t="n">
        <v>3</v>
      </c>
      <c r="AF226" t="n">
        <v>0</v>
      </c>
      <c r="AG226" t="n">
        <v>0</v>
      </c>
      <c r="AH226" t="n">
        <v>2</v>
      </c>
      <c r="AI226" t="n">
        <v>2</v>
      </c>
      <c r="AJ226" t="n">
        <v>2</v>
      </c>
      <c r="AK226" t="n">
        <v>2</v>
      </c>
      <c r="AL226" t="n">
        <v>0</v>
      </c>
      <c r="AM226" t="n">
        <v>0</v>
      </c>
      <c r="AN226" t="n">
        <v>0</v>
      </c>
      <c r="AO226" t="n">
        <v>0</v>
      </c>
      <c r="AP226" t="inlineStr">
        <is>
          <t>No</t>
        </is>
      </c>
      <c r="AQ226" t="inlineStr">
        <is>
          <t>Yes</t>
        </is>
      </c>
      <c r="AR226">
        <f>HYPERLINK("http://catalog.hathitrust.org/Record/009383662","HathiTrust Record")</f>
        <v/>
      </c>
      <c r="AS226">
        <f>HYPERLINK("https://creighton-primo.hosted.exlibrisgroup.com/primo-explore/search?tab=default_tab&amp;search_scope=EVERYTHING&amp;vid=01CRU&amp;lang=en_US&amp;offset=0&amp;query=any,contains,991000158429702656","Catalog Record")</f>
        <v/>
      </c>
      <c r="AT226">
        <f>HYPERLINK("http://www.worldcat.org/oclc/60679","WorldCat Record")</f>
        <v/>
      </c>
      <c r="AU226" t="inlineStr">
        <is>
          <t>8525003:eng</t>
        </is>
      </c>
      <c r="AV226" t="inlineStr">
        <is>
          <t>60679</t>
        </is>
      </c>
      <c r="AW226" t="inlineStr">
        <is>
          <t>991000158429702656</t>
        </is>
      </c>
      <c r="AX226" t="inlineStr">
        <is>
          <t>991000158429702656</t>
        </is>
      </c>
      <c r="AY226" t="inlineStr">
        <is>
          <t>2271709150002656</t>
        </is>
      </c>
      <c r="AZ226" t="inlineStr">
        <is>
          <t>BOOK</t>
        </is>
      </c>
      <c r="BB226" t="inlineStr">
        <is>
          <t>9780404019006</t>
        </is>
      </c>
      <c r="BC226" t="inlineStr">
        <is>
          <t>32285000797117</t>
        </is>
      </c>
      <c r="BD226" t="inlineStr">
        <is>
          <t>893502295</t>
        </is>
      </c>
    </row>
    <row r="227">
      <c r="A227" t="inlineStr">
        <is>
          <t>No</t>
        </is>
      </c>
      <c r="B227" t="inlineStr">
        <is>
          <t>PG3421 .A13 1970 V.12</t>
        </is>
      </c>
      <c r="C227" t="inlineStr">
        <is>
          <t>0                      PG 3421000A  13          1970                                        V.12</t>
        </is>
      </c>
      <c r="D227" t="inlineStr">
        <is>
          <t>The novels of Ivan Turgenev / [translated from the Russian by Constance Garnett. London, W. Heinemann, 1894-99.</t>
        </is>
      </c>
      <c r="E227" t="inlineStr">
        <is>
          <t>V.12*</t>
        </is>
      </c>
      <c r="F227" t="inlineStr">
        <is>
          <t>Yes</t>
        </is>
      </c>
      <c r="G227" t="inlineStr">
        <is>
          <t>1</t>
        </is>
      </c>
      <c r="H227" t="inlineStr">
        <is>
          <t>No</t>
        </is>
      </c>
      <c r="I227" t="inlineStr">
        <is>
          <t>No</t>
        </is>
      </c>
      <c r="J227" t="inlineStr">
        <is>
          <t>0</t>
        </is>
      </c>
      <c r="K227" t="inlineStr">
        <is>
          <t>Turgenev, Ivan Sergeevich, 1818-1883.</t>
        </is>
      </c>
      <c r="L227" t="inlineStr">
        <is>
          <t>New York : AMS Press, 1970]</t>
        </is>
      </c>
      <c r="M227" t="inlineStr">
        <is>
          <t>1970</t>
        </is>
      </c>
      <c r="O227" t="inlineStr">
        <is>
          <t>eng</t>
        </is>
      </c>
      <c r="P227" t="inlineStr">
        <is>
          <t>nyu</t>
        </is>
      </c>
      <c r="R227" t="inlineStr">
        <is>
          <t xml:space="preserve">PG </t>
        </is>
      </c>
      <c r="S227" t="n">
        <v>0</v>
      </c>
      <c r="T227" t="n">
        <v>9</v>
      </c>
      <c r="V227" t="inlineStr">
        <is>
          <t>2007-05-21</t>
        </is>
      </c>
      <c r="W227" t="inlineStr">
        <is>
          <t>1991-11-07</t>
        </is>
      </c>
      <c r="X227" t="inlineStr">
        <is>
          <t>1991-11-07</t>
        </is>
      </c>
      <c r="Y227" t="n">
        <v>170</v>
      </c>
      <c r="Z227" t="n">
        <v>161</v>
      </c>
      <c r="AA227" t="n">
        <v>177</v>
      </c>
      <c r="AB227" t="n">
        <v>1</v>
      </c>
      <c r="AC227" t="n">
        <v>1</v>
      </c>
      <c r="AD227" t="n">
        <v>3</v>
      </c>
      <c r="AE227" t="n">
        <v>3</v>
      </c>
      <c r="AF227" t="n">
        <v>0</v>
      </c>
      <c r="AG227" t="n">
        <v>0</v>
      </c>
      <c r="AH227" t="n">
        <v>2</v>
      </c>
      <c r="AI227" t="n">
        <v>2</v>
      </c>
      <c r="AJ227" t="n">
        <v>2</v>
      </c>
      <c r="AK227" t="n">
        <v>2</v>
      </c>
      <c r="AL227" t="n">
        <v>0</v>
      </c>
      <c r="AM227" t="n">
        <v>0</v>
      </c>
      <c r="AN227" t="n">
        <v>0</v>
      </c>
      <c r="AO227" t="n">
        <v>0</v>
      </c>
      <c r="AP227" t="inlineStr">
        <is>
          <t>No</t>
        </is>
      </c>
      <c r="AQ227" t="inlineStr">
        <is>
          <t>Yes</t>
        </is>
      </c>
      <c r="AR227">
        <f>HYPERLINK("http://catalog.hathitrust.org/Record/009383662","HathiTrust Record")</f>
        <v/>
      </c>
      <c r="AS227">
        <f>HYPERLINK("https://creighton-primo.hosted.exlibrisgroup.com/primo-explore/search?tab=default_tab&amp;search_scope=EVERYTHING&amp;vid=01CRU&amp;lang=en_US&amp;offset=0&amp;query=any,contains,991000158429702656","Catalog Record")</f>
        <v/>
      </c>
      <c r="AT227">
        <f>HYPERLINK("http://www.worldcat.org/oclc/60679","WorldCat Record")</f>
        <v/>
      </c>
      <c r="AU227" t="inlineStr">
        <is>
          <t>8525003:eng</t>
        </is>
      </c>
      <c r="AV227" t="inlineStr">
        <is>
          <t>60679</t>
        </is>
      </c>
      <c r="AW227" t="inlineStr">
        <is>
          <t>991000158429702656</t>
        </is>
      </c>
      <c r="AX227" t="inlineStr">
        <is>
          <t>991000158429702656</t>
        </is>
      </c>
      <c r="AY227" t="inlineStr">
        <is>
          <t>2271709150002656</t>
        </is>
      </c>
      <c r="AZ227" t="inlineStr">
        <is>
          <t>BOOK</t>
        </is>
      </c>
      <c r="BB227" t="inlineStr">
        <is>
          <t>9780404019006</t>
        </is>
      </c>
      <c r="BC227" t="inlineStr">
        <is>
          <t>32285000797125</t>
        </is>
      </c>
      <c r="BD227" t="inlineStr">
        <is>
          <t>893502294</t>
        </is>
      </c>
    </row>
    <row r="228">
      <c r="A228" t="inlineStr">
        <is>
          <t>No</t>
        </is>
      </c>
      <c r="B228" t="inlineStr">
        <is>
          <t>PG3421 .A13 1970 V.13</t>
        </is>
      </c>
      <c r="C228" t="inlineStr">
        <is>
          <t>0                      PG 3421000A  13          1970                                        V.13</t>
        </is>
      </c>
      <c r="D228" t="inlineStr">
        <is>
          <t>The novels of Ivan Turgenev / [translated from the Russian by Constance Garnett. London, W. Heinemann, 1894-99.</t>
        </is>
      </c>
      <c r="E228" t="inlineStr">
        <is>
          <t>V.13*</t>
        </is>
      </c>
      <c r="F228" t="inlineStr">
        <is>
          <t>Yes</t>
        </is>
      </c>
      <c r="G228" t="inlineStr">
        <is>
          <t>1</t>
        </is>
      </c>
      <c r="H228" t="inlineStr">
        <is>
          <t>No</t>
        </is>
      </c>
      <c r="I228" t="inlineStr">
        <is>
          <t>No</t>
        </is>
      </c>
      <c r="J228" t="inlineStr">
        <is>
          <t>0</t>
        </is>
      </c>
      <c r="K228" t="inlineStr">
        <is>
          <t>Turgenev, Ivan Sergeevich, 1818-1883.</t>
        </is>
      </c>
      <c r="L228" t="inlineStr">
        <is>
          <t>New York : AMS Press, 1970]</t>
        </is>
      </c>
      <c r="M228" t="inlineStr">
        <is>
          <t>1970</t>
        </is>
      </c>
      <c r="O228" t="inlineStr">
        <is>
          <t>eng</t>
        </is>
      </c>
      <c r="P228" t="inlineStr">
        <is>
          <t>nyu</t>
        </is>
      </c>
      <c r="R228" t="inlineStr">
        <is>
          <t xml:space="preserve">PG </t>
        </is>
      </c>
      <c r="S228" t="n">
        <v>1</v>
      </c>
      <c r="T228" t="n">
        <v>9</v>
      </c>
      <c r="U228" t="inlineStr">
        <is>
          <t>2007-02-23</t>
        </is>
      </c>
      <c r="V228" t="inlineStr">
        <is>
          <t>2007-05-21</t>
        </is>
      </c>
      <c r="W228" t="inlineStr">
        <is>
          <t>1991-11-07</t>
        </is>
      </c>
      <c r="X228" t="inlineStr">
        <is>
          <t>1991-11-07</t>
        </is>
      </c>
      <c r="Y228" t="n">
        <v>170</v>
      </c>
      <c r="Z228" t="n">
        <v>161</v>
      </c>
      <c r="AA228" t="n">
        <v>177</v>
      </c>
      <c r="AB228" t="n">
        <v>1</v>
      </c>
      <c r="AC228" t="n">
        <v>1</v>
      </c>
      <c r="AD228" t="n">
        <v>3</v>
      </c>
      <c r="AE228" t="n">
        <v>3</v>
      </c>
      <c r="AF228" t="n">
        <v>0</v>
      </c>
      <c r="AG228" t="n">
        <v>0</v>
      </c>
      <c r="AH228" t="n">
        <v>2</v>
      </c>
      <c r="AI228" t="n">
        <v>2</v>
      </c>
      <c r="AJ228" t="n">
        <v>2</v>
      </c>
      <c r="AK228" t="n">
        <v>2</v>
      </c>
      <c r="AL228" t="n">
        <v>0</v>
      </c>
      <c r="AM228" t="n">
        <v>0</v>
      </c>
      <c r="AN228" t="n">
        <v>0</v>
      </c>
      <c r="AO228" t="n">
        <v>0</v>
      </c>
      <c r="AP228" t="inlineStr">
        <is>
          <t>No</t>
        </is>
      </c>
      <c r="AQ228" t="inlineStr">
        <is>
          <t>Yes</t>
        </is>
      </c>
      <c r="AR228">
        <f>HYPERLINK("http://catalog.hathitrust.org/Record/009383662","HathiTrust Record")</f>
        <v/>
      </c>
      <c r="AS228">
        <f>HYPERLINK("https://creighton-primo.hosted.exlibrisgroup.com/primo-explore/search?tab=default_tab&amp;search_scope=EVERYTHING&amp;vid=01CRU&amp;lang=en_US&amp;offset=0&amp;query=any,contains,991000158429702656","Catalog Record")</f>
        <v/>
      </c>
      <c r="AT228">
        <f>HYPERLINK("http://www.worldcat.org/oclc/60679","WorldCat Record")</f>
        <v/>
      </c>
      <c r="AU228" t="inlineStr">
        <is>
          <t>8525003:eng</t>
        </is>
      </c>
      <c r="AV228" t="inlineStr">
        <is>
          <t>60679</t>
        </is>
      </c>
      <c r="AW228" t="inlineStr">
        <is>
          <t>991000158429702656</t>
        </is>
      </c>
      <c r="AX228" t="inlineStr">
        <is>
          <t>991000158429702656</t>
        </is>
      </c>
      <c r="AY228" t="inlineStr">
        <is>
          <t>2271709150002656</t>
        </is>
      </c>
      <c r="AZ228" t="inlineStr">
        <is>
          <t>BOOK</t>
        </is>
      </c>
      <c r="BB228" t="inlineStr">
        <is>
          <t>9780404019006</t>
        </is>
      </c>
      <c r="BC228" t="inlineStr">
        <is>
          <t>32285000797133</t>
        </is>
      </c>
      <c r="BD228" t="inlineStr">
        <is>
          <t>893527861</t>
        </is>
      </c>
    </row>
    <row r="229">
      <c r="A229" t="inlineStr">
        <is>
          <t>No</t>
        </is>
      </c>
      <c r="B229" t="inlineStr">
        <is>
          <t>PG3421 .A13 1970 V.14</t>
        </is>
      </c>
      <c r="C229" t="inlineStr">
        <is>
          <t>0                      PG 3421000A  13          1970                                        V.14</t>
        </is>
      </c>
      <c r="D229" t="inlineStr">
        <is>
          <t>The novels of Ivan Turgenev / [translated from the Russian by Constance Garnett. London, W. Heinemann, 1894-99.</t>
        </is>
      </c>
      <c r="E229" t="inlineStr">
        <is>
          <t>V.14*</t>
        </is>
      </c>
      <c r="F229" t="inlineStr">
        <is>
          <t>Yes</t>
        </is>
      </c>
      <c r="G229" t="inlineStr">
        <is>
          <t>1</t>
        </is>
      </c>
      <c r="H229" t="inlineStr">
        <is>
          <t>No</t>
        </is>
      </c>
      <c r="I229" t="inlineStr">
        <is>
          <t>No</t>
        </is>
      </c>
      <c r="J229" t="inlineStr">
        <is>
          <t>0</t>
        </is>
      </c>
      <c r="K229" t="inlineStr">
        <is>
          <t>Turgenev, Ivan Sergeevich, 1818-1883.</t>
        </is>
      </c>
      <c r="L229" t="inlineStr">
        <is>
          <t>New York : AMS Press, 1970]</t>
        </is>
      </c>
      <c r="M229" t="inlineStr">
        <is>
          <t>1970</t>
        </is>
      </c>
      <c r="O229" t="inlineStr">
        <is>
          <t>eng</t>
        </is>
      </c>
      <c r="P229" t="inlineStr">
        <is>
          <t>nyu</t>
        </is>
      </c>
      <c r="R229" t="inlineStr">
        <is>
          <t xml:space="preserve">PG </t>
        </is>
      </c>
      <c r="S229" t="n">
        <v>0</v>
      </c>
      <c r="T229" t="n">
        <v>9</v>
      </c>
      <c r="V229" t="inlineStr">
        <is>
          <t>2007-05-21</t>
        </is>
      </c>
      <c r="W229" t="inlineStr">
        <is>
          <t>1991-11-07</t>
        </is>
      </c>
      <c r="X229" t="inlineStr">
        <is>
          <t>1991-11-07</t>
        </is>
      </c>
      <c r="Y229" t="n">
        <v>170</v>
      </c>
      <c r="Z229" t="n">
        <v>161</v>
      </c>
      <c r="AA229" t="n">
        <v>177</v>
      </c>
      <c r="AB229" t="n">
        <v>1</v>
      </c>
      <c r="AC229" t="n">
        <v>1</v>
      </c>
      <c r="AD229" t="n">
        <v>3</v>
      </c>
      <c r="AE229" t="n">
        <v>3</v>
      </c>
      <c r="AF229" t="n">
        <v>0</v>
      </c>
      <c r="AG229" t="n">
        <v>0</v>
      </c>
      <c r="AH229" t="n">
        <v>2</v>
      </c>
      <c r="AI229" t="n">
        <v>2</v>
      </c>
      <c r="AJ229" t="n">
        <v>2</v>
      </c>
      <c r="AK229" t="n">
        <v>2</v>
      </c>
      <c r="AL229" t="n">
        <v>0</v>
      </c>
      <c r="AM229" t="n">
        <v>0</v>
      </c>
      <c r="AN229" t="n">
        <v>0</v>
      </c>
      <c r="AO229" t="n">
        <v>0</v>
      </c>
      <c r="AP229" t="inlineStr">
        <is>
          <t>No</t>
        </is>
      </c>
      <c r="AQ229" t="inlineStr">
        <is>
          <t>Yes</t>
        </is>
      </c>
      <c r="AR229">
        <f>HYPERLINK("http://catalog.hathitrust.org/Record/009383662","HathiTrust Record")</f>
        <v/>
      </c>
      <c r="AS229">
        <f>HYPERLINK("https://creighton-primo.hosted.exlibrisgroup.com/primo-explore/search?tab=default_tab&amp;search_scope=EVERYTHING&amp;vid=01CRU&amp;lang=en_US&amp;offset=0&amp;query=any,contains,991000158429702656","Catalog Record")</f>
        <v/>
      </c>
      <c r="AT229">
        <f>HYPERLINK("http://www.worldcat.org/oclc/60679","WorldCat Record")</f>
        <v/>
      </c>
      <c r="AU229" t="inlineStr">
        <is>
          <t>8525003:eng</t>
        </is>
      </c>
      <c r="AV229" t="inlineStr">
        <is>
          <t>60679</t>
        </is>
      </c>
      <c r="AW229" t="inlineStr">
        <is>
          <t>991000158429702656</t>
        </is>
      </c>
      <c r="AX229" t="inlineStr">
        <is>
          <t>991000158429702656</t>
        </is>
      </c>
      <c r="AY229" t="inlineStr">
        <is>
          <t>2271709150002656</t>
        </is>
      </c>
      <c r="AZ229" t="inlineStr">
        <is>
          <t>BOOK</t>
        </is>
      </c>
      <c r="BB229" t="inlineStr">
        <is>
          <t>9780404019006</t>
        </is>
      </c>
      <c r="BC229" t="inlineStr">
        <is>
          <t>32285000797141</t>
        </is>
      </c>
      <c r="BD229" t="inlineStr">
        <is>
          <t>893527860</t>
        </is>
      </c>
    </row>
    <row r="230">
      <c r="A230" t="inlineStr">
        <is>
          <t>No</t>
        </is>
      </c>
      <c r="B230" t="inlineStr">
        <is>
          <t>PG3421 .A13 1970 V.15</t>
        </is>
      </c>
      <c r="C230" t="inlineStr">
        <is>
          <t>0                      PG 3421000A  13          1970                                        V.15</t>
        </is>
      </c>
      <c r="D230" t="inlineStr">
        <is>
          <t>The novels of Ivan Turgenev / [translated from the Russian by Constance Garnett. London, W. Heinemann, 1894-99.</t>
        </is>
      </c>
      <c r="E230" t="inlineStr">
        <is>
          <t>V.15*</t>
        </is>
      </c>
      <c r="F230" t="inlineStr">
        <is>
          <t>Yes</t>
        </is>
      </c>
      <c r="G230" t="inlineStr">
        <is>
          <t>1</t>
        </is>
      </c>
      <c r="H230" t="inlineStr">
        <is>
          <t>No</t>
        </is>
      </c>
      <c r="I230" t="inlineStr">
        <is>
          <t>No</t>
        </is>
      </c>
      <c r="J230" t="inlineStr">
        <is>
          <t>0</t>
        </is>
      </c>
      <c r="K230" t="inlineStr">
        <is>
          <t>Turgenev, Ivan Sergeevich, 1818-1883.</t>
        </is>
      </c>
      <c r="L230" t="inlineStr">
        <is>
          <t>New York : AMS Press, 1970]</t>
        </is>
      </c>
      <c r="M230" t="inlineStr">
        <is>
          <t>1970</t>
        </is>
      </c>
      <c r="O230" t="inlineStr">
        <is>
          <t>eng</t>
        </is>
      </c>
      <c r="P230" t="inlineStr">
        <is>
          <t>nyu</t>
        </is>
      </c>
      <c r="R230" t="inlineStr">
        <is>
          <t xml:space="preserve">PG </t>
        </is>
      </c>
      <c r="S230" t="n">
        <v>0</v>
      </c>
      <c r="T230" t="n">
        <v>9</v>
      </c>
      <c r="V230" t="inlineStr">
        <is>
          <t>2007-05-21</t>
        </is>
      </c>
      <c r="W230" t="inlineStr">
        <is>
          <t>1991-11-07</t>
        </is>
      </c>
      <c r="X230" t="inlineStr">
        <is>
          <t>1991-11-07</t>
        </is>
      </c>
      <c r="Y230" t="n">
        <v>170</v>
      </c>
      <c r="Z230" t="n">
        <v>161</v>
      </c>
      <c r="AA230" t="n">
        <v>177</v>
      </c>
      <c r="AB230" t="n">
        <v>1</v>
      </c>
      <c r="AC230" t="n">
        <v>1</v>
      </c>
      <c r="AD230" t="n">
        <v>3</v>
      </c>
      <c r="AE230" t="n">
        <v>3</v>
      </c>
      <c r="AF230" t="n">
        <v>0</v>
      </c>
      <c r="AG230" t="n">
        <v>0</v>
      </c>
      <c r="AH230" t="n">
        <v>2</v>
      </c>
      <c r="AI230" t="n">
        <v>2</v>
      </c>
      <c r="AJ230" t="n">
        <v>2</v>
      </c>
      <c r="AK230" t="n">
        <v>2</v>
      </c>
      <c r="AL230" t="n">
        <v>0</v>
      </c>
      <c r="AM230" t="n">
        <v>0</v>
      </c>
      <c r="AN230" t="n">
        <v>0</v>
      </c>
      <c r="AO230" t="n">
        <v>0</v>
      </c>
      <c r="AP230" t="inlineStr">
        <is>
          <t>No</t>
        </is>
      </c>
      <c r="AQ230" t="inlineStr">
        <is>
          <t>Yes</t>
        </is>
      </c>
      <c r="AR230">
        <f>HYPERLINK("http://catalog.hathitrust.org/Record/009383662","HathiTrust Record")</f>
        <v/>
      </c>
      <c r="AS230">
        <f>HYPERLINK("https://creighton-primo.hosted.exlibrisgroup.com/primo-explore/search?tab=default_tab&amp;search_scope=EVERYTHING&amp;vid=01CRU&amp;lang=en_US&amp;offset=0&amp;query=any,contains,991000158429702656","Catalog Record")</f>
        <v/>
      </c>
      <c r="AT230">
        <f>HYPERLINK("http://www.worldcat.org/oclc/60679","WorldCat Record")</f>
        <v/>
      </c>
      <c r="AU230" t="inlineStr">
        <is>
          <t>8525003:eng</t>
        </is>
      </c>
      <c r="AV230" t="inlineStr">
        <is>
          <t>60679</t>
        </is>
      </c>
      <c r="AW230" t="inlineStr">
        <is>
          <t>991000158429702656</t>
        </is>
      </c>
      <c r="AX230" t="inlineStr">
        <is>
          <t>991000158429702656</t>
        </is>
      </c>
      <c r="AY230" t="inlineStr">
        <is>
          <t>2271709150002656</t>
        </is>
      </c>
      <c r="AZ230" t="inlineStr">
        <is>
          <t>BOOK</t>
        </is>
      </c>
      <c r="BB230" t="inlineStr">
        <is>
          <t>9780404019006</t>
        </is>
      </c>
      <c r="BC230" t="inlineStr">
        <is>
          <t>32285000797158</t>
        </is>
      </c>
      <c r="BD230" t="inlineStr">
        <is>
          <t>893534070</t>
        </is>
      </c>
    </row>
    <row r="231">
      <c r="A231" t="inlineStr">
        <is>
          <t>No</t>
        </is>
      </c>
      <c r="B231" t="inlineStr">
        <is>
          <t>PG3421 .A13 1970 V.2</t>
        </is>
      </c>
      <c r="C231" t="inlineStr">
        <is>
          <t>0                      PG 3421000A  13          1970                                        V.2</t>
        </is>
      </c>
      <c r="D231" t="inlineStr">
        <is>
          <t>The novels of Ivan Turgenev / [translated from the Russian by Constance Garnett. London, W. Heinemann, 1894-99.</t>
        </is>
      </c>
      <c r="E231" t="inlineStr">
        <is>
          <t>V.2*</t>
        </is>
      </c>
      <c r="F231" t="inlineStr">
        <is>
          <t>Yes</t>
        </is>
      </c>
      <c r="G231" t="inlineStr">
        <is>
          <t>1</t>
        </is>
      </c>
      <c r="H231" t="inlineStr">
        <is>
          <t>No</t>
        </is>
      </c>
      <c r="I231" t="inlineStr">
        <is>
          <t>No</t>
        </is>
      </c>
      <c r="J231" t="inlineStr">
        <is>
          <t>0</t>
        </is>
      </c>
      <c r="K231" t="inlineStr">
        <is>
          <t>Turgenev, Ivan Sergeevich, 1818-1883.</t>
        </is>
      </c>
      <c r="L231" t="inlineStr">
        <is>
          <t>New York : AMS Press, 1970]</t>
        </is>
      </c>
      <c r="M231" t="inlineStr">
        <is>
          <t>1970</t>
        </is>
      </c>
      <c r="O231" t="inlineStr">
        <is>
          <t>eng</t>
        </is>
      </c>
      <c r="P231" t="inlineStr">
        <is>
          <t>nyu</t>
        </is>
      </c>
      <c r="R231" t="inlineStr">
        <is>
          <t xml:space="preserve">PG </t>
        </is>
      </c>
      <c r="S231" t="n">
        <v>5</v>
      </c>
      <c r="T231" t="n">
        <v>9</v>
      </c>
      <c r="U231" t="inlineStr">
        <is>
          <t>2007-05-03</t>
        </is>
      </c>
      <c r="V231" t="inlineStr">
        <is>
          <t>2007-05-21</t>
        </is>
      </c>
      <c r="W231" t="inlineStr">
        <is>
          <t>1991-11-07</t>
        </is>
      </c>
      <c r="X231" t="inlineStr">
        <is>
          <t>1991-11-07</t>
        </is>
      </c>
      <c r="Y231" t="n">
        <v>170</v>
      </c>
      <c r="Z231" t="n">
        <v>161</v>
      </c>
      <c r="AA231" t="n">
        <v>177</v>
      </c>
      <c r="AB231" t="n">
        <v>1</v>
      </c>
      <c r="AC231" t="n">
        <v>1</v>
      </c>
      <c r="AD231" t="n">
        <v>3</v>
      </c>
      <c r="AE231" t="n">
        <v>3</v>
      </c>
      <c r="AF231" t="n">
        <v>0</v>
      </c>
      <c r="AG231" t="n">
        <v>0</v>
      </c>
      <c r="AH231" t="n">
        <v>2</v>
      </c>
      <c r="AI231" t="n">
        <v>2</v>
      </c>
      <c r="AJ231" t="n">
        <v>2</v>
      </c>
      <c r="AK231" t="n">
        <v>2</v>
      </c>
      <c r="AL231" t="n">
        <v>0</v>
      </c>
      <c r="AM231" t="n">
        <v>0</v>
      </c>
      <c r="AN231" t="n">
        <v>0</v>
      </c>
      <c r="AO231" t="n">
        <v>0</v>
      </c>
      <c r="AP231" t="inlineStr">
        <is>
          <t>No</t>
        </is>
      </c>
      <c r="AQ231" t="inlineStr">
        <is>
          <t>Yes</t>
        </is>
      </c>
      <c r="AR231">
        <f>HYPERLINK("http://catalog.hathitrust.org/Record/009383662","HathiTrust Record")</f>
        <v/>
      </c>
      <c r="AS231">
        <f>HYPERLINK("https://creighton-primo.hosted.exlibrisgroup.com/primo-explore/search?tab=default_tab&amp;search_scope=EVERYTHING&amp;vid=01CRU&amp;lang=en_US&amp;offset=0&amp;query=any,contains,991000158429702656","Catalog Record")</f>
        <v/>
      </c>
      <c r="AT231">
        <f>HYPERLINK("http://www.worldcat.org/oclc/60679","WorldCat Record")</f>
        <v/>
      </c>
      <c r="AU231" t="inlineStr">
        <is>
          <t>8525003:eng</t>
        </is>
      </c>
      <c r="AV231" t="inlineStr">
        <is>
          <t>60679</t>
        </is>
      </c>
      <c r="AW231" t="inlineStr">
        <is>
          <t>991000158429702656</t>
        </is>
      </c>
      <c r="AX231" t="inlineStr">
        <is>
          <t>991000158429702656</t>
        </is>
      </c>
      <c r="AY231" t="inlineStr">
        <is>
          <t>2271709150002656</t>
        </is>
      </c>
      <c r="AZ231" t="inlineStr">
        <is>
          <t>BOOK</t>
        </is>
      </c>
      <c r="BB231" t="inlineStr">
        <is>
          <t>9780404019006</t>
        </is>
      </c>
      <c r="BC231" t="inlineStr">
        <is>
          <t>32285000797026</t>
        </is>
      </c>
      <c r="BD231" t="inlineStr">
        <is>
          <t>893515062</t>
        </is>
      </c>
    </row>
    <row r="232">
      <c r="A232" t="inlineStr">
        <is>
          <t>No</t>
        </is>
      </c>
      <c r="B232" t="inlineStr">
        <is>
          <t>PG3421 .A13 1970 V.3</t>
        </is>
      </c>
      <c r="C232" t="inlineStr">
        <is>
          <t>0                      PG 3421000A  13          1970                                        V.3</t>
        </is>
      </c>
      <c r="D232" t="inlineStr">
        <is>
          <t>The novels of Ivan Turgenev / [translated from the Russian by Constance Garnett. London, W. Heinemann, 1894-99.</t>
        </is>
      </c>
      <c r="E232" t="inlineStr">
        <is>
          <t>V.3*</t>
        </is>
      </c>
      <c r="F232" t="inlineStr">
        <is>
          <t>Yes</t>
        </is>
      </c>
      <c r="G232" t="inlineStr">
        <is>
          <t>1</t>
        </is>
      </c>
      <c r="H232" t="inlineStr">
        <is>
          <t>No</t>
        </is>
      </c>
      <c r="I232" t="inlineStr">
        <is>
          <t>No</t>
        </is>
      </c>
      <c r="J232" t="inlineStr">
        <is>
          <t>0</t>
        </is>
      </c>
      <c r="K232" t="inlineStr">
        <is>
          <t>Turgenev, Ivan Sergeevich, 1818-1883.</t>
        </is>
      </c>
      <c r="L232" t="inlineStr">
        <is>
          <t>New York : AMS Press, 1970]</t>
        </is>
      </c>
      <c r="M232" t="inlineStr">
        <is>
          <t>1970</t>
        </is>
      </c>
      <c r="O232" t="inlineStr">
        <is>
          <t>eng</t>
        </is>
      </c>
      <c r="P232" t="inlineStr">
        <is>
          <t>nyu</t>
        </is>
      </c>
      <c r="R232" t="inlineStr">
        <is>
          <t xml:space="preserve">PG </t>
        </is>
      </c>
      <c r="S232" t="n">
        <v>0</v>
      </c>
      <c r="T232" t="n">
        <v>9</v>
      </c>
      <c r="V232" t="inlineStr">
        <is>
          <t>2007-05-21</t>
        </is>
      </c>
      <c r="W232" t="inlineStr">
        <is>
          <t>1991-11-07</t>
        </is>
      </c>
      <c r="X232" t="inlineStr">
        <is>
          <t>1991-11-07</t>
        </is>
      </c>
      <c r="Y232" t="n">
        <v>170</v>
      </c>
      <c r="Z232" t="n">
        <v>161</v>
      </c>
      <c r="AA232" t="n">
        <v>177</v>
      </c>
      <c r="AB232" t="n">
        <v>1</v>
      </c>
      <c r="AC232" t="n">
        <v>1</v>
      </c>
      <c r="AD232" t="n">
        <v>3</v>
      </c>
      <c r="AE232" t="n">
        <v>3</v>
      </c>
      <c r="AF232" t="n">
        <v>0</v>
      </c>
      <c r="AG232" t="n">
        <v>0</v>
      </c>
      <c r="AH232" t="n">
        <v>2</v>
      </c>
      <c r="AI232" t="n">
        <v>2</v>
      </c>
      <c r="AJ232" t="n">
        <v>2</v>
      </c>
      <c r="AK232" t="n">
        <v>2</v>
      </c>
      <c r="AL232" t="n">
        <v>0</v>
      </c>
      <c r="AM232" t="n">
        <v>0</v>
      </c>
      <c r="AN232" t="n">
        <v>0</v>
      </c>
      <c r="AO232" t="n">
        <v>0</v>
      </c>
      <c r="AP232" t="inlineStr">
        <is>
          <t>No</t>
        </is>
      </c>
      <c r="AQ232" t="inlineStr">
        <is>
          <t>Yes</t>
        </is>
      </c>
      <c r="AR232">
        <f>HYPERLINK("http://catalog.hathitrust.org/Record/009383662","HathiTrust Record")</f>
        <v/>
      </c>
      <c r="AS232">
        <f>HYPERLINK("https://creighton-primo.hosted.exlibrisgroup.com/primo-explore/search?tab=default_tab&amp;search_scope=EVERYTHING&amp;vid=01CRU&amp;lang=en_US&amp;offset=0&amp;query=any,contains,991000158429702656","Catalog Record")</f>
        <v/>
      </c>
      <c r="AT232">
        <f>HYPERLINK("http://www.worldcat.org/oclc/60679","WorldCat Record")</f>
        <v/>
      </c>
      <c r="AU232" t="inlineStr">
        <is>
          <t>8525003:eng</t>
        </is>
      </c>
      <c r="AV232" t="inlineStr">
        <is>
          <t>60679</t>
        </is>
      </c>
      <c r="AW232" t="inlineStr">
        <is>
          <t>991000158429702656</t>
        </is>
      </c>
      <c r="AX232" t="inlineStr">
        <is>
          <t>991000158429702656</t>
        </is>
      </c>
      <c r="AY232" t="inlineStr">
        <is>
          <t>2271709150002656</t>
        </is>
      </c>
      <c r="AZ232" t="inlineStr">
        <is>
          <t>BOOK</t>
        </is>
      </c>
      <c r="BB232" t="inlineStr">
        <is>
          <t>9780404019006</t>
        </is>
      </c>
      <c r="BC232" t="inlineStr">
        <is>
          <t>32285000797034</t>
        </is>
      </c>
      <c r="BD232" t="inlineStr">
        <is>
          <t>893515061</t>
        </is>
      </c>
    </row>
    <row r="233">
      <c r="A233" t="inlineStr">
        <is>
          <t>No</t>
        </is>
      </c>
      <c r="B233" t="inlineStr">
        <is>
          <t>PG3421 .A13 1970 V.4</t>
        </is>
      </c>
      <c r="C233" t="inlineStr">
        <is>
          <t>0                      PG 3421000A  13          1970                                        V.4</t>
        </is>
      </c>
      <c r="D233" t="inlineStr">
        <is>
          <t>The novels of Ivan Turgenev / [translated from the Russian by Constance Garnett. London, W. Heinemann, 1894-99.</t>
        </is>
      </c>
      <c r="E233" t="inlineStr">
        <is>
          <t>V.4*</t>
        </is>
      </c>
      <c r="F233" t="inlineStr">
        <is>
          <t>Yes</t>
        </is>
      </c>
      <c r="G233" t="inlineStr">
        <is>
          <t>1</t>
        </is>
      </c>
      <c r="H233" t="inlineStr">
        <is>
          <t>No</t>
        </is>
      </c>
      <c r="I233" t="inlineStr">
        <is>
          <t>No</t>
        </is>
      </c>
      <c r="J233" t="inlineStr">
        <is>
          <t>0</t>
        </is>
      </c>
      <c r="K233" t="inlineStr">
        <is>
          <t>Turgenev, Ivan Sergeevich, 1818-1883.</t>
        </is>
      </c>
      <c r="L233" t="inlineStr">
        <is>
          <t>New York : AMS Press, 1970]</t>
        </is>
      </c>
      <c r="M233" t="inlineStr">
        <is>
          <t>1970</t>
        </is>
      </c>
      <c r="O233" t="inlineStr">
        <is>
          <t>eng</t>
        </is>
      </c>
      <c r="P233" t="inlineStr">
        <is>
          <t>nyu</t>
        </is>
      </c>
      <c r="R233" t="inlineStr">
        <is>
          <t xml:space="preserve">PG </t>
        </is>
      </c>
      <c r="S233" t="n">
        <v>2</v>
      </c>
      <c r="T233" t="n">
        <v>9</v>
      </c>
      <c r="U233" t="inlineStr">
        <is>
          <t>2007-05-21</t>
        </is>
      </c>
      <c r="V233" t="inlineStr">
        <is>
          <t>2007-05-21</t>
        </is>
      </c>
      <c r="W233" t="inlineStr">
        <is>
          <t>1991-11-07</t>
        </is>
      </c>
      <c r="X233" t="inlineStr">
        <is>
          <t>1991-11-07</t>
        </is>
      </c>
      <c r="Y233" t="n">
        <v>170</v>
      </c>
      <c r="Z233" t="n">
        <v>161</v>
      </c>
      <c r="AA233" t="n">
        <v>177</v>
      </c>
      <c r="AB233" t="n">
        <v>1</v>
      </c>
      <c r="AC233" t="n">
        <v>1</v>
      </c>
      <c r="AD233" t="n">
        <v>3</v>
      </c>
      <c r="AE233" t="n">
        <v>3</v>
      </c>
      <c r="AF233" t="n">
        <v>0</v>
      </c>
      <c r="AG233" t="n">
        <v>0</v>
      </c>
      <c r="AH233" t="n">
        <v>2</v>
      </c>
      <c r="AI233" t="n">
        <v>2</v>
      </c>
      <c r="AJ233" t="n">
        <v>2</v>
      </c>
      <c r="AK233" t="n">
        <v>2</v>
      </c>
      <c r="AL233" t="n">
        <v>0</v>
      </c>
      <c r="AM233" t="n">
        <v>0</v>
      </c>
      <c r="AN233" t="n">
        <v>0</v>
      </c>
      <c r="AO233" t="n">
        <v>0</v>
      </c>
      <c r="AP233" t="inlineStr">
        <is>
          <t>No</t>
        </is>
      </c>
      <c r="AQ233" t="inlineStr">
        <is>
          <t>Yes</t>
        </is>
      </c>
      <c r="AR233">
        <f>HYPERLINK("http://catalog.hathitrust.org/Record/009383662","HathiTrust Record")</f>
        <v/>
      </c>
      <c r="AS233">
        <f>HYPERLINK("https://creighton-primo.hosted.exlibrisgroup.com/primo-explore/search?tab=default_tab&amp;search_scope=EVERYTHING&amp;vid=01CRU&amp;lang=en_US&amp;offset=0&amp;query=any,contains,991000158429702656","Catalog Record")</f>
        <v/>
      </c>
      <c r="AT233">
        <f>HYPERLINK("http://www.worldcat.org/oclc/60679","WorldCat Record")</f>
        <v/>
      </c>
      <c r="AU233" t="inlineStr">
        <is>
          <t>8525003:eng</t>
        </is>
      </c>
      <c r="AV233" t="inlineStr">
        <is>
          <t>60679</t>
        </is>
      </c>
      <c r="AW233" t="inlineStr">
        <is>
          <t>991000158429702656</t>
        </is>
      </c>
      <c r="AX233" t="inlineStr">
        <is>
          <t>991000158429702656</t>
        </is>
      </c>
      <c r="AY233" t="inlineStr">
        <is>
          <t>2271709150002656</t>
        </is>
      </c>
      <c r="AZ233" t="inlineStr">
        <is>
          <t>BOOK</t>
        </is>
      </c>
      <c r="BB233" t="inlineStr">
        <is>
          <t>9780404019006</t>
        </is>
      </c>
      <c r="BC233" t="inlineStr">
        <is>
          <t>32285000797042</t>
        </is>
      </c>
      <c r="BD233" t="inlineStr">
        <is>
          <t>893534069</t>
        </is>
      </c>
    </row>
    <row r="234">
      <c r="A234" t="inlineStr">
        <is>
          <t>No</t>
        </is>
      </c>
      <c r="B234" t="inlineStr">
        <is>
          <t>PG3421 .A13 1970 V.5</t>
        </is>
      </c>
      <c r="C234" t="inlineStr">
        <is>
          <t>0                      PG 3421000A  13          1970                                        V.5</t>
        </is>
      </c>
      <c r="D234" t="inlineStr">
        <is>
          <t>The novels of Ivan Turgenev / [translated from the Russian by Constance Garnett. London, W. Heinemann, 1894-99.</t>
        </is>
      </c>
      <c r="E234" t="inlineStr">
        <is>
          <t>V.5*</t>
        </is>
      </c>
      <c r="F234" t="inlineStr">
        <is>
          <t>Yes</t>
        </is>
      </c>
      <c r="G234" t="inlineStr">
        <is>
          <t>1</t>
        </is>
      </c>
      <c r="H234" t="inlineStr">
        <is>
          <t>No</t>
        </is>
      </c>
      <c r="I234" t="inlineStr">
        <is>
          <t>No</t>
        </is>
      </c>
      <c r="J234" t="inlineStr">
        <is>
          <t>0</t>
        </is>
      </c>
      <c r="K234" t="inlineStr">
        <is>
          <t>Turgenev, Ivan Sergeevich, 1818-1883.</t>
        </is>
      </c>
      <c r="L234" t="inlineStr">
        <is>
          <t>New York : AMS Press, 1970]</t>
        </is>
      </c>
      <c r="M234" t="inlineStr">
        <is>
          <t>1970</t>
        </is>
      </c>
      <c r="O234" t="inlineStr">
        <is>
          <t>eng</t>
        </is>
      </c>
      <c r="P234" t="inlineStr">
        <is>
          <t>nyu</t>
        </is>
      </c>
      <c r="R234" t="inlineStr">
        <is>
          <t xml:space="preserve">PG </t>
        </is>
      </c>
      <c r="S234" t="n">
        <v>0</v>
      </c>
      <c r="T234" t="n">
        <v>9</v>
      </c>
      <c r="V234" t="inlineStr">
        <is>
          <t>2007-05-21</t>
        </is>
      </c>
      <c r="W234" t="inlineStr">
        <is>
          <t>1991-11-07</t>
        </is>
      </c>
      <c r="X234" t="inlineStr">
        <is>
          <t>1991-11-07</t>
        </is>
      </c>
      <c r="Y234" t="n">
        <v>170</v>
      </c>
      <c r="Z234" t="n">
        <v>161</v>
      </c>
      <c r="AA234" t="n">
        <v>177</v>
      </c>
      <c r="AB234" t="n">
        <v>1</v>
      </c>
      <c r="AC234" t="n">
        <v>1</v>
      </c>
      <c r="AD234" t="n">
        <v>3</v>
      </c>
      <c r="AE234" t="n">
        <v>3</v>
      </c>
      <c r="AF234" t="n">
        <v>0</v>
      </c>
      <c r="AG234" t="n">
        <v>0</v>
      </c>
      <c r="AH234" t="n">
        <v>2</v>
      </c>
      <c r="AI234" t="n">
        <v>2</v>
      </c>
      <c r="AJ234" t="n">
        <v>2</v>
      </c>
      <c r="AK234" t="n">
        <v>2</v>
      </c>
      <c r="AL234" t="n">
        <v>0</v>
      </c>
      <c r="AM234" t="n">
        <v>0</v>
      </c>
      <c r="AN234" t="n">
        <v>0</v>
      </c>
      <c r="AO234" t="n">
        <v>0</v>
      </c>
      <c r="AP234" t="inlineStr">
        <is>
          <t>No</t>
        </is>
      </c>
      <c r="AQ234" t="inlineStr">
        <is>
          <t>Yes</t>
        </is>
      </c>
      <c r="AR234">
        <f>HYPERLINK("http://catalog.hathitrust.org/Record/009383662","HathiTrust Record")</f>
        <v/>
      </c>
      <c r="AS234">
        <f>HYPERLINK("https://creighton-primo.hosted.exlibrisgroup.com/primo-explore/search?tab=default_tab&amp;search_scope=EVERYTHING&amp;vid=01CRU&amp;lang=en_US&amp;offset=0&amp;query=any,contains,991000158429702656","Catalog Record")</f>
        <v/>
      </c>
      <c r="AT234">
        <f>HYPERLINK("http://www.worldcat.org/oclc/60679","WorldCat Record")</f>
        <v/>
      </c>
      <c r="AU234" t="inlineStr">
        <is>
          <t>8525003:eng</t>
        </is>
      </c>
      <c r="AV234" t="inlineStr">
        <is>
          <t>60679</t>
        </is>
      </c>
      <c r="AW234" t="inlineStr">
        <is>
          <t>991000158429702656</t>
        </is>
      </c>
      <c r="AX234" t="inlineStr">
        <is>
          <t>991000158429702656</t>
        </is>
      </c>
      <c r="AY234" t="inlineStr">
        <is>
          <t>2271709150002656</t>
        </is>
      </c>
      <c r="AZ234" t="inlineStr">
        <is>
          <t>BOOK</t>
        </is>
      </c>
      <c r="BB234" t="inlineStr">
        <is>
          <t>9780404019006</t>
        </is>
      </c>
      <c r="BC234" t="inlineStr">
        <is>
          <t>32285000797059</t>
        </is>
      </c>
      <c r="BD234" t="inlineStr">
        <is>
          <t>893521453</t>
        </is>
      </c>
    </row>
    <row r="235">
      <c r="A235" t="inlineStr">
        <is>
          <t>No</t>
        </is>
      </c>
      <c r="B235" t="inlineStr">
        <is>
          <t>PG3421 .A13 1970 V.6</t>
        </is>
      </c>
      <c r="C235" t="inlineStr">
        <is>
          <t>0                      PG 3421000A  13          1970                                        V.6</t>
        </is>
      </c>
      <c r="D235" t="inlineStr">
        <is>
          <t>The novels of Ivan Turgenev / [translated from the Russian by Constance Garnett. London, W. Heinemann, 1894-99.</t>
        </is>
      </c>
      <c r="E235" t="inlineStr">
        <is>
          <t>V.6*</t>
        </is>
      </c>
      <c r="F235" t="inlineStr">
        <is>
          <t>Yes</t>
        </is>
      </c>
      <c r="G235" t="inlineStr">
        <is>
          <t>1</t>
        </is>
      </c>
      <c r="H235" t="inlineStr">
        <is>
          <t>No</t>
        </is>
      </c>
      <c r="I235" t="inlineStr">
        <is>
          <t>No</t>
        </is>
      </c>
      <c r="J235" t="inlineStr">
        <is>
          <t>0</t>
        </is>
      </c>
      <c r="K235" t="inlineStr">
        <is>
          <t>Turgenev, Ivan Sergeevich, 1818-1883.</t>
        </is>
      </c>
      <c r="L235" t="inlineStr">
        <is>
          <t>New York : AMS Press, 1970]</t>
        </is>
      </c>
      <c r="M235" t="inlineStr">
        <is>
          <t>1970</t>
        </is>
      </c>
      <c r="O235" t="inlineStr">
        <is>
          <t>eng</t>
        </is>
      </c>
      <c r="P235" t="inlineStr">
        <is>
          <t>nyu</t>
        </is>
      </c>
      <c r="R235" t="inlineStr">
        <is>
          <t xml:space="preserve">PG </t>
        </is>
      </c>
      <c r="S235" t="n">
        <v>0</v>
      </c>
      <c r="T235" t="n">
        <v>9</v>
      </c>
      <c r="V235" t="inlineStr">
        <is>
          <t>2007-05-21</t>
        </is>
      </c>
      <c r="W235" t="inlineStr">
        <is>
          <t>1991-11-07</t>
        </is>
      </c>
      <c r="X235" t="inlineStr">
        <is>
          <t>1991-11-07</t>
        </is>
      </c>
      <c r="Y235" t="n">
        <v>170</v>
      </c>
      <c r="Z235" t="n">
        <v>161</v>
      </c>
      <c r="AA235" t="n">
        <v>177</v>
      </c>
      <c r="AB235" t="n">
        <v>1</v>
      </c>
      <c r="AC235" t="n">
        <v>1</v>
      </c>
      <c r="AD235" t="n">
        <v>3</v>
      </c>
      <c r="AE235" t="n">
        <v>3</v>
      </c>
      <c r="AF235" t="n">
        <v>0</v>
      </c>
      <c r="AG235" t="n">
        <v>0</v>
      </c>
      <c r="AH235" t="n">
        <v>2</v>
      </c>
      <c r="AI235" t="n">
        <v>2</v>
      </c>
      <c r="AJ235" t="n">
        <v>2</v>
      </c>
      <c r="AK235" t="n">
        <v>2</v>
      </c>
      <c r="AL235" t="n">
        <v>0</v>
      </c>
      <c r="AM235" t="n">
        <v>0</v>
      </c>
      <c r="AN235" t="n">
        <v>0</v>
      </c>
      <c r="AO235" t="n">
        <v>0</v>
      </c>
      <c r="AP235" t="inlineStr">
        <is>
          <t>No</t>
        </is>
      </c>
      <c r="AQ235" t="inlineStr">
        <is>
          <t>Yes</t>
        </is>
      </c>
      <c r="AR235">
        <f>HYPERLINK("http://catalog.hathitrust.org/Record/009383662","HathiTrust Record")</f>
        <v/>
      </c>
      <c r="AS235">
        <f>HYPERLINK("https://creighton-primo.hosted.exlibrisgroup.com/primo-explore/search?tab=default_tab&amp;search_scope=EVERYTHING&amp;vid=01CRU&amp;lang=en_US&amp;offset=0&amp;query=any,contains,991000158429702656","Catalog Record")</f>
        <v/>
      </c>
      <c r="AT235">
        <f>HYPERLINK("http://www.worldcat.org/oclc/60679","WorldCat Record")</f>
        <v/>
      </c>
      <c r="AU235" t="inlineStr">
        <is>
          <t>8525003:eng</t>
        </is>
      </c>
      <c r="AV235" t="inlineStr">
        <is>
          <t>60679</t>
        </is>
      </c>
      <c r="AW235" t="inlineStr">
        <is>
          <t>991000158429702656</t>
        </is>
      </c>
      <c r="AX235" t="inlineStr">
        <is>
          <t>991000158429702656</t>
        </is>
      </c>
      <c r="AY235" t="inlineStr">
        <is>
          <t>2271709150002656</t>
        </is>
      </c>
      <c r="AZ235" t="inlineStr">
        <is>
          <t>BOOK</t>
        </is>
      </c>
      <c r="BB235" t="inlineStr">
        <is>
          <t>9780404019006</t>
        </is>
      </c>
      <c r="BC235" t="inlineStr">
        <is>
          <t>32285000797067</t>
        </is>
      </c>
      <c r="BD235" t="inlineStr">
        <is>
          <t>893495982</t>
        </is>
      </c>
    </row>
    <row r="236">
      <c r="A236" t="inlineStr">
        <is>
          <t>No</t>
        </is>
      </c>
      <c r="B236" t="inlineStr">
        <is>
          <t>PG3421 .A13 1970 V.7</t>
        </is>
      </c>
      <c r="C236" t="inlineStr">
        <is>
          <t>0                      PG 3421000A  13          1970                                        V.7</t>
        </is>
      </c>
      <c r="D236" t="inlineStr">
        <is>
          <t>The novels of Ivan Turgenev / [translated from the Russian by Constance Garnett. London, W. Heinemann, 1894-99.</t>
        </is>
      </c>
      <c r="E236" t="inlineStr">
        <is>
          <t>V.7*</t>
        </is>
      </c>
      <c r="F236" t="inlineStr">
        <is>
          <t>Yes</t>
        </is>
      </c>
      <c r="G236" t="inlineStr">
        <is>
          <t>1</t>
        </is>
      </c>
      <c r="H236" t="inlineStr">
        <is>
          <t>No</t>
        </is>
      </c>
      <c r="I236" t="inlineStr">
        <is>
          <t>No</t>
        </is>
      </c>
      <c r="J236" t="inlineStr">
        <is>
          <t>0</t>
        </is>
      </c>
      <c r="K236" t="inlineStr">
        <is>
          <t>Turgenev, Ivan Sergeevich, 1818-1883.</t>
        </is>
      </c>
      <c r="L236" t="inlineStr">
        <is>
          <t>New York : AMS Press, 1970]</t>
        </is>
      </c>
      <c r="M236" t="inlineStr">
        <is>
          <t>1970</t>
        </is>
      </c>
      <c r="O236" t="inlineStr">
        <is>
          <t>eng</t>
        </is>
      </c>
      <c r="P236" t="inlineStr">
        <is>
          <t>nyu</t>
        </is>
      </c>
      <c r="R236" t="inlineStr">
        <is>
          <t xml:space="preserve">PG </t>
        </is>
      </c>
      <c r="S236" t="n">
        <v>0</v>
      </c>
      <c r="T236" t="n">
        <v>9</v>
      </c>
      <c r="V236" t="inlineStr">
        <is>
          <t>2007-05-21</t>
        </is>
      </c>
      <c r="W236" t="inlineStr">
        <is>
          <t>1991-11-07</t>
        </is>
      </c>
      <c r="X236" t="inlineStr">
        <is>
          <t>1991-11-07</t>
        </is>
      </c>
      <c r="Y236" t="n">
        <v>170</v>
      </c>
      <c r="Z236" t="n">
        <v>161</v>
      </c>
      <c r="AA236" t="n">
        <v>177</v>
      </c>
      <c r="AB236" t="n">
        <v>1</v>
      </c>
      <c r="AC236" t="n">
        <v>1</v>
      </c>
      <c r="AD236" t="n">
        <v>3</v>
      </c>
      <c r="AE236" t="n">
        <v>3</v>
      </c>
      <c r="AF236" t="n">
        <v>0</v>
      </c>
      <c r="AG236" t="n">
        <v>0</v>
      </c>
      <c r="AH236" t="n">
        <v>2</v>
      </c>
      <c r="AI236" t="n">
        <v>2</v>
      </c>
      <c r="AJ236" t="n">
        <v>2</v>
      </c>
      <c r="AK236" t="n">
        <v>2</v>
      </c>
      <c r="AL236" t="n">
        <v>0</v>
      </c>
      <c r="AM236" t="n">
        <v>0</v>
      </c>
      <c r="AN236" t="n">
        <v>0</v>
      </c>
      <c r="AO236" t="n">
        <v>0</v>
      </c>
      <c r="AP236" t="inlineStr">
        <is>
          <t>No</t>
        </is>
      </c>
      <c r="AQ236" t="inlineStr">
        <is>
          <t>Yes</t>
        </is>
      </c>
      <c r="AR236">
        <f>HYPERLINK("http://catalog.hathitrust.org/Record/009383662","HathiTrust Record")</f>
        <v/>
      </c>
      <c r="AS236">
        <f>HYPERLINK("https://creighton-primo.hosted.exlibrisgroup.com/primo-explore/search?tab=default_tab&amp;search_scope=EVERYTHING&amp;vid=01CRU&amp;lang=en_US&amp;offset=0&amp;query=any,contains,991000158429702656","Catalog Record")</f>
        <v/>
      </c>
      <c r="AT236">
        <f>HYPERLINK("http://www.worldcat.org/oclc/60679","WorldCat Record")</f>
        <v/>
      </c>
      <c r="AU236" t="inlineStr">
        <is>
          <t>8525003:eng</t>
        </is>
      </c>
      <c r="AV236" t="inlineStr">
        <is>
          <t>60679</t>
        </is>
      </c>
      <c r="AW236" t="inlineStr">
        <is>
          <t>991000158429702656</t>
        </is>
      </c>
      <c r="AX236" t="inlineStr">
        <is>
          <t>991000158429702656</t>
        </is>
      </c>
      <c r="AY236" t="inlineStr">
        <is>
          <t>2271709150002656</t>
        </is>
      </c>
      <c r="AZ236" t="inlineStr">
        <is>
          <t>BOOK</t>
        </is>
      </c>
      <c r="BB236" t="inlineStr">
        <is>
          <t>9780404019006</t>
        </is>
      </c>
      <c r="BC236" t="inlineStr">
        <is>
          <t>32285000797075</t>
        </is>
      </c>
      <c r="BD236" t="inlineStr">
        <is>
          <t>893534068</t>
        </is>
      </c>
    </row>
    <row r="237">
      <c r="A237" t="inlineStr">
        <is>
          <t>No</t>
        </is>
      </c>
      <c r="B237" t="inlineStr">
        <is>
          <t>PG3421 .A13 1970 V.8</t>
        </is>
      </c>
      <c r="C237" t="inlineStr">
        <is>
          <t>0                      PG 3421000A  13          1970                                        V.8</t>
        </is>
      </c>
      <c r="D237" t="inlineStr">
        <is>
          <t>The novels of Ivan Turgenev / [translated from the Russian by Constance Garnett. London, W. Heinemann, 1894-99.</t>
        </is>
      </c>
      <c r="E237" t="inlineStr">
        <is>
          <t>V.8*</t>
        </is>
      </c>
      <c r="F237" t="inlineStr">
        <is>
          <t>Yes</t>
        </is>
      </c>
      <c r="G237" t="inlineStr">
        <is>
          <t>1</t>
        </is>
      </c>
      <c r="H237" t="inlineStr">
        <is>
          <t>No</t>
        </is>
      </c>
      <c r="I237" t="inlineStr">
        <is>
          <t>No</t>
        </is>
      </c>
      <c r="J237" t="inlineStr">
        <is>
          <t>0</t>
        </is>
      </c>
      <c r="K237" t="inlineStr">
        <is>
          <t>Turgenev, Ivan Sergeevich, 1818-1883.</t>
        </is>
      </c>
      <c r="L237" t="inlineStr">
        <is>
          <t>New York : AMS Press, 1970]</t>
        </is>
      </c>
      <c r="M237" t="inlineStr">
        <is>
          <t>1970</t>
        </is>
      </c>
      <c r="O237" t="inlineStr">
        <is>
          <t>eng</t>
        </is>
      </c>
      <c r="P237" t="inlineStr">
        <is>
          <t>nyu</t>
        </is>
      </c>
      <c r="R237" t="inlineStr">
        <is>
          <t xml:space="preserve">PG </t>
        </is>
      </c>
      <c r="S237" t="n">
        <v>0</v>
      </c>
      <c r="T237" t="n">
        <v>9</v>
      </c>
      <c r="V237" t="inlineStr">
        <is>
          <t>2007-05-21</t>
        </is>
      </c>
      <c r="W237" t="inlineStr">
        <is>
          <t>1991-11-07</t>
        </is>
      </c>
      <c r="X237" t="inlineStr">
        <is>
          <t>1991-11-07</t>
        </is>
      </c>
      <c r="Y237" t="n">
        <v>170</v>
      </c>
      <c r="Z237" t="n">
        <v>161</v>
      </c>
      <c r="AA237" t="n">
        <v>177</v>
      </c>
      <c r="AB237" t="n">
        <v>1</v>
      </c>
      <c r="AC237" t="n">
        <v>1</v>
      </c>
      <c r="AD237" t="n">
        <v>3</v>
      </c>
      <c r="AE237" t="n">
        <v>3</v>
      </c>
      <c r="AF237" t="n">
        <v>0</v>
      </c>
      <c r="AG237" t="n">
        <v>0</v>
      </c>
      <c r="AH237" t="n">
        <v>2</v>
      </c>
      <c r="AI237" t="n">
        <v>2</v>
      </c>
      <c r="AJ237" t="n">
        <v>2</v>
      </c>
      <c r="AK237" t="n">
        <v>2</v>
      </c>
      <c r="AL237" t="n">
        <v>0</v>
      </c>
      <c r="AM237" t="n">
        <v>0</v>
      </c>
      <c r="AN237" t="n">
        <v>0</v>
      </c>
      <c r="AO237" t="n">
        <v>0</v>
      </c>
      <c r="AP237" t="inlineStr">
        <is>
          <t>No</t>
        </is>
      </c>
      <c r="AQ237" t="inlineStr">
        <is>
          <t>Yes</t>
        </is>
      </c>
      <c r="AR237">
        <f>HYPERLINK("http://catalog.hathitrust.org/Record/009383662","HathiTrust Record")</f>
        <v/>
      </c>
      <c r="AS237">
        <f>HYPERLINK("https://creighton-primo.hosted.exlibrisgroup.com/primo-explore/search?tab=default_tab&amp;search_scope=EVERYTHING&amp;vid=01CRU&amp;lang=en_US&amp;offset=0&amp;query=any,contains,991000158429702656","Catalog Record")</f>
        <v/>
      </c>
      <c r="AT237">
        <f>HYPERLINK("http://www.worldcat.org/oclc/60679","WorldCat Record")</f>
        <v/>
      </c>
      <c r="AU237" t="inlineStr">
        <is>
          <t>8525003:eng</t>
        </is>
      </c>
      <c r="AV237" t="inlineStr">
        <is>
          <t>60679</t>
        </is>
      </c>
      <c r="AW237" t="inlineStr">
        <is>
          <t>991000158429702656</t>
        </is>
      </c>
      <c r="AX237" t="inlineStr">
        <is>
          <t>991000158429702656</t>
        </is>
      </c>
      <c r="AY237" t="inlineStr">
        <is>
          <t>2271709150002656</t>
        </is>
      </c>
      <c r="AZ237" t="inlineStr">
        <is>
          <t>BOOK</t>
        </is>
      </c>
      <c r="BB237" t="inlineStr">
        <is>
          <t>9780404019006</t>
        </is>
      </c>
      <c r="BC237" t="inlineStr">
        <is>
          <t>32285000797083</t>
        </is>
      </c>
      <c r="BD237" t="inlineStr">
        <is>
          <t>893495981</t>
        </is>
      </c>
    </row>
    <row r="238">
      <c r="A238" t="inlineStr">
        <is>
          <t>No</t>
        </is>
      </c>
      <c r="B238" t="inlineStr">
        <is>
          <t>PG3421 .A13 1970 V.9</t>
        </is>
      </c>
      <c r="C238" t="inlineStr">
        <is>
          <t>0                      PG 3421000A  13          1970                                        V.9</t>
        </is>
      </c>
      <c r="D238" t="inlineStr">
        <is>
          <t>The novels of Ivan Turgenev / [translated from the Russian by Constance Garnett. London, W. Heinemann, 1894-99.</t>
        </is>
      </c>
      <c r="E238" t="inlineStr">
        <is>
          <t>V.9*</t>
        </is>
      </c>
      <c r="F238" t="inlineStr">
        <is>
          <t>Yes</t>
        </is>
      </c>
      <c r="G238" t="inlineStr">
        <is>
          <t>1</t>
        </is>
      </c>
      <c r="H238" t="inlineStr">
        <is>
          <t>No</t>
        </is>
      </c>
      <c r="I238" t="inlineStr">
        <is>
          <t>No</t>
        </is>
      </c>
      <c r="J238" t="inlineStr">
        <is>
          <t>0</t>
        </is>
      </c>
      <c r="K238" t="inlineStr">
        <is>
          <t>Turgenev, Ivan Sergeevich, 1818-1883.</t>
        </is>
      </c>
      <c r="L238" t="inlineStr">
        <is>
          <t>New York : AMS Press, 1970]</t>
        </is>
      </c>
      <c r="M238" t="inlineStr">
        <is>
          <t>1970</t>
        </is>
      </c>
      <c r="O238" t="inlineStr">
        <is>
          <t>eng</t>
        </is>
      </c>
      <c r="P238" t="inlineStr">
        <is>
          <t>nyu</t>
        </is>
      </c>
      <c r="R238" t="inlineStr">
        <is>
          <t xml:space="preserve">PG </t>
        </is>
      </c>
      <c r="S238" t="n">
        <v>0</v>
      </c>
      <c r="T238" t="n">
        <v>9</v>
      </c>
      <c r="V238" t="inlineStr">
        <is>
          <t>2007-05-21</t>
        </is>
      </c>
      <c r="W238" t="inlineStr">
        <is>
          <t>1991-11-07</t>
        </is>
      </c>
      <c r="X238" t="inlineStr">
        <is>
          <t>1991-11-07</t>
        </is>
      </c>
      <c r="Y238" t="n">
        <v>170</v>
      </c>
      <c r="Z238" t="n">
        <v>161</v>
      </c>
      <c r="AA238" t="n">
        <v>177</v>
      </c>
      <c r="AB238" t="n">
        <v>1</v>
      </c>
      <c r="AC238" t="n">
        <v>1</v>
      </c>
      <c r="AD238" t="n">
        <v>3</v>
      </c>
      <c r="AE238" t="n">
        <v>3</v>
      </c>
      <c r="AF238" t="n">
        <v>0</v>
      </c>
      <c r="AG238" t="n">
        <v>0</v>
      </c>
      <c r="AH238" t="n">
        <v>2</v>
      </c>
      <c r="AI238" t="n">
        <v>2</v>
      </c>
      <c r="AJ238" t="n">
        <v>2</v>
      </c>
      <c r="AK238" t="n">
        <v>2</v>
      </c>
      <c r="AL238" t="n">
        <v>0</v>
      </c>
      <c r="AM238" t="n">
        <v>0</v>
      </c>
      <c r="AN238" t="n">
        <v>0</v>
      </c>
      <c r="AO238" t="n">
        <v>0</v>
      </c>
      <c r="AP238" t="inlineStr">
        <is>
          <t>No</t>
        </is>
      </c>
      <c r="AQ238" t="inlineStr">
        <is>
          <t>Yes</t>
        </is>
      </c>
      <c r="AR238">
        <f>HYPERLINK("http://catalog.hathitrust.org/Record/009383662","HathiTrust Record")</f>
        <v/>
      </c>
      <c r="AS238">
        <f>HYPERLINK("https://creighton-primo.hosted.exlibrisgroup.com/primo-explore/search?tab=default_tab&amp;search_scope=EVERYTHING&amp;vid=01CRU&amp;lang=en_US&amp;offset=0&amp;query=any,contains,991000158429702656","Catalog Record")</f>
        <v/>
      </c>
      <c r="AT238">
        <f>HYPERLINK("http://www.worldcat.org/oclc/60679","WorldCat Record")</f>
        <v/>
      </c>
      <c r="AU238" t="inlineStr">
        <is>
          <t>8525003:eng</t>
        </is>
      </c>
      <c r="AV238" t="inlineStr">
        <is>
          <t>60679</t>
        </is>
      </c>
      <c r="AW238" t="inlineStr">
        <is>
          <t>991000158429702656</t>
        </is>
      </c>
      <c r="AX238" t="inlineStr">
        <is>
          <t>991000158429702656</t>
        </is>
      </c>
      <c r="AY238" t="inlineStr">
        <is>
          <t>2271709150002656</t>
        </is>
      </c>
      <c r="AZ238" t="inlineStr">
        <is>
          <t>BOOK</t>
        </is>
      </c>
      <c r="BB238" t="inlineStr">
        <is>
          <t>9780404019006</t>
        </is>
      </c>
      <c r="BC238" t="inlineStr">
        <is>
          <t>32285000797091</t>
        </is>
      </c>
      <c r="BD238" t="inlineStr">
        <is>
          <t>893534067</t>
        </is>
      </c>
    </row>
    <row r="239">
      <c r="A239" t="inlineStr">
        <is>
          <t>No</t>
        </is>
      </c>
      <c r="B239" t="inlineStr">
        <is>
          <t>PG3421 .D913 1995</t>
        </is>
      </c>
      <c r="C239" t="inlineStr">
        <is>
          <t>0                      PG 3421000D  913         1995</t>
        </is>
      </c>
      <c r="D239" t="inlineStr">
        <is>
          <t>Smoke / Ivan Turgenev ; translated from the Russian by Constance Garnett.</t>
        </is>
      </c>
      <c r="F239" t="inlineStr">
        <is>
          <t>No</t>
        </is>
      </c>
      <c r="G239" t="inlineStr">
        <is>
          <t>1</t>
        </is>
      </c>
      <c r="H239" t="inlineStr">
        <is>
          <t>No</t>
        </is>
      </c>
      <c r="I239" t="inlineStr">
        <is>
          <t>Yes</t>
        </is>
      </c>
      <c r="J239" t="inlineStr">
        <is>
          <t>0</t>
        </is>
      </c>
      <c r="K239" t="inlineStr">
        <is>
          <t>Turgenev, Ivan Sergeevich, 1818-1883.</t>
        </is>
      </c>
      <c r="L239" t="inlineStr">
        <is>
          <t>[S.l.] : Turtle Point Press, c1995.</t>
        </is>
      </c>
      <c r="M239" t="inlineStr">
        <is>
          <t>1995</t>
        </is>
      </c>
      <c r="O239" t="inlineStr">
        <is>
          <t>eng</t>
        </is>
      </c>
      <c r="P239" t="inlineStr">
        <is>
          <t>xxu</t>
        </is>
      </c>
      <c r="R239" t="inlineStr">
        <is>
          <t xml:space="preserve">PG </t>
        </is>
      </c>
      <c r="S239" t="n">
        <v>2</v>
      </c>
      <c r="T239" t="n">
        <v>2</v>
      </c>
      <c r="U239" t="inlineStr">
        <is>
          <t>2009-03-30</t>
        </is>
      </c>
      <c r="V239" t="inlineStr">
        <is>
          <t>2009-03-30</t>
        </is>
      </c>
      <c r="W239" t="inlineStr">
        <is>
          <t>1998-01-09</t>
        </is>
      </c>
      <c r="X239" t="inlineStr">
        <is>
          <t>1998-01-09</t>
        </is>
      </c>
      <c r="Y239" t="n">
        <v>108</v>
      </c>
      <c r="Z239" t="n">
        <v>95</v>
      </c>
      <c r="AA239" t="n">
        <v>1005</v>
      </c>
      <c r="AB239" t="n">
        <v>2</v>
      </c>
      <c r="AC239" t="n">
        <v>9</v>
      </c>
      <c r="AD239" t="n">
        <v>3</v>
      </c>
      <c r="AE239" t="n">
        <v>36</v>
      </c>
      <c r="AF239" t="n">
        <v>1</v>
      </c>
      <c r="AG239" t="n">
        <v>14</v>
      </c>
      <c r="AH239" t="n">
        <v>1</v>
      </c>
      <c r="AI239" t="n">
        <v>7</v>
      </c>
      <c r="AJ239" t="n">
        <v>2</v>
      </c>
      <c r="AK239" t="n">
        <v>15</v>
      </c>
      <c r="AL239" t="n">
        <v>0</v>
      </c>
      <c r="AM239" t="n">
        <v>7</v>
      </c>
      <c r="AN239" t="n">
        <v>0</v>
      </c>
      <c r="AO239" t="n">
        <v>0</v>
      </c>
      <c r="AP239" t="inlineStr">
        <is>
          <t>No</t>
        </is>
      </c>
      <c r="AQ239" t="inlineStr">
        <is>
          <t>Yes</t>
        </is>
      </c>
      <c r="AR239">
        <f>HYPERLINK("http://catalog.hathitrust.org/Record/007047605","HathiTrust Record")</f>
        <v/>
      </c>
      <c r="AS239">
        <f>HYPERLINK("https://creighton-primo.hosted.exlibrisgroup.com/primo-explore/search?tab=default_tab&amp;search_scope=EVERYTHING&amp;vid=01CRU&amp;lang=en_US&amp;offset=0&amp;query=any,contains,991002529139702656","Catalog Record")</f>
        <v/>
      </c>
      <c r="AT239">
        <f>HYPERLINK("http://www.worldcat.org/oclc/32866479","WorldCat Record")</f>
        <v/>
      </c>
      <c r="AU239" t="inlineStr">
        <is>
          <t>9906723050:eng</t>
        </is>
      </c>
      <c r="AV239" t="inlineStr">
        <is>
          <t>32866479</t>
        </is>
      </c>
      <c r="AW239" t="inlineStr">
        <is>
          <t>991002529139702656</t>
        </is>
      </c>
      <c r="AX239" t="inlineStr">
        <is>
          <t>991002529139702656</t>
        </is>
      </c>
      <c r="AY239" t="inlineStr">
        <is>
          <t>2271994190002656</t>
        </is>
      </c>
      <c r="AZ239" t="inlineStr">
        <is>
          <t>BOOK</t>
        </is>
      </c>
      <c r="BB239" t="inlineStr">
        <is>
          <t>9781885983008</t>
        </is>
      </c>
      <c r="BC239" t="inlineStr">
        <is>
          <t>32285003302659</t>
        </is>
      </c>
      <c r="BD239" t="inlineStr">
        <is>
          <t>893867344</t>
        </is>
      </c>
    </row>
    <row r="240">
      <c r="A240" t="inlineStr">
        <is>
          <t>No</t>
        </is>
      </c>
      <c r="B240" t="inlineStr">
        <is>
          <t>PG3421 .Z3 1992</t>
        </is>
      </c>
      <c r="C240" t="inlineStr">
        <is>
          <t>0                      PG 3421000Z  3           1992</t>
        </is>
      </c>
      <c r="D240" t="inlineStr">
        <is>
          <t>A sportsman's notebook / Ivan Turgenev ; translated from the Russian by Charles and Natasha Hepburn.</t>
        </is>
      </c>
      <c r="F240" t="inlineStr">
        <is>
          <t>No</t>
        </is>
      </c>
      <c r="G240" t="inlineStr">
        <is>
          <t>1</t>
        </is>
      </c>
      <c r="H240" t="inlineStr">
        <is>
          <t>No</t>
        </is>
      </c>
      <c r="I240" t="inlineStr">
        <is>
          <t>Yes</t>
        </is>
      </c>
      <c r="J240" t="inlineStr">
        <is>
          <t>0</t>
        </is>
      </c>
      <c r="K240" t="inlineStr">
        <is>
          <t>Turgenev, Ivan Sergeevich, 1818-1883.</t>
        </is>
      </c>
      <c r="L240" t="inlineStr">
        <is>
          <t>[London] : Everyman's Library, 1992.</t>
        </is>
      </c>
      <c r="M240" t="inlineStr">
        <is>
          <t>1992</t>
        </is>
      </c>
      <c r="O240" t="inlineStr">
        <is>
          <t>eng</t>
        </is>
      </c>
      <c r="P240" t="inlineStr">
        <is>
          <t>enk</t>
        </is>
      </c>
      <c r="Q240" t="inlineStr">
        <is>
          <t>Everyman's library ; 54</t>
        </is>
      </c>
      <c r="R240" t="inlineStr">
        <is>
          <t xml:space="preserve">PG </t>
        </is>
      </c>
      <c r="S240" t="n">
        <v>1</v>
      </c>
      <c r="T240" t="n">
        <v>1</v>
      </c>
      <c r="U240" t="inlineStr">
        <is>
          <t>2009-01-14</t>
        </is>
      </c>
      <c r="V240" t="inlineStr">
        <is>
          <t>2009-01-14</t>
        </is>
      </c>
      <c r="W240" t="inlineStr">
        <is>
          <t>2009-01-14</t>
        </is>
      </c>
      <c r="X240" t="inlineStr">
        <is>
          <t>2009-01-14</t>
        </is>
      </c>
      <c r="Y240" t="n">
        <v>81</v>
      </c>
      <c r="Z240" t="n">
        <v>23</v>
      </c>
      <c r="AA240" t="n">
        <v>1359</v>
      </c>
      <c r="AB240" t="n">
        <v>1</v>
      </c>
      <c r="AC240" t="n">
        <v>10</v>
      </c>
      <c r="AD240" t="n">
        <v>0</v>
      </c>
      <c r="AE240" t="n">
        <v>47</v>
      </c>
      <c r="AF240" t="n">
        <v>0</v>
      </c>
      <c r="AG240" t="n">
        <v>20</v>
      </c>
      <c r="AH240" t="n">
        <v>0</v>
      </c>
      <c r="AI240" t="n">
        <v>10</v>
      </c>
      <c r="AJ240" t="n">
        <v>0</v>
      </c>
      <c r="AK240" t="n">
        <v>21</v>
      </c>
      <c r="AL240" t="n">
        <v>0</v>
      </c>
      <c r="AM240" t="n">
        <v>7</v>
      </c>
      <c r="AN240" t="n">
        <v>0</v>
      </c>
      <c r="AO240" t="n">
        <v>0</v>
      </c>
      <c r="AP240" t="inlineStr">
        <is>
          <t>No</t>
        </is>
      </c>
      <c r="AQ240" t="inlineStr">
        <is>
          <t>No</t>
        </is>
      </c>
      <c r="AS240">
        <f>HYPERLINK("https://creighton-primo.hosted.exlibrisgroup.com/primo-explore/search?tab=default_tab&amp;search_scope=EVERYTHING&amp;vid=01CRU&amp;lang=en_US&amp;offset=0&amp;query=any,contains,991005290379702656","Catalog Record")</f>
        <v/>
      </c>
      <c r="AT240">
        <f>HYPERLINK("http://www.worldcat.org/oclc/59960481","WorldCat Record")</f>
        <v/>
      </c>
      <c r="AU240" t="inlineStr">
        <is>
          <t>2863405948:eng</t>
        </is>
      </c>
      <c r="AV240" t="inlineStr">
        <is>
          <t>59960481</t>
        </is>
      </c>
      <c r="AW240" t="inlineStr">
        <is>
          <t>991005290379702656</t>
        </is>
      </c>
      <c r="AX240" t="inlineStr">
        <is>
          <t>991005290379702656</t>
        </is>
      </c>
      <c r="AY240" t="inlineStr">
        <is>
          <t>2270762480002656</t>
        </is>
      </c>
      <c r="AZ240" t="inlineStr">
        <is>
          <t>BOOK</t>
        </is>
      </c>
      <c r="BB240" t="inlineStr">
        <is>
          <t>9781857150544</t>
        </is>
      </c>
      <c r="BC240" t="inlineStr">
        <is>
          <t>32285005478002</t>
        </is>
      </c>
      <c r="BD240" t="inlineStr">
        <is>
          <t>893332729</t>
        </is>
      </c>
    </row>
    <row r="241">
      <c r="A241" t="inlineStr">
        <is>
          <t>No</t>
        </is>
      </c>
      <c r="B241" t="inlineStr">
        <is>
          <t>PG3421.N6 H3 1915</t>
        </is>
      </c>
      <c r="C241" t="inlineStr">
        <is>
          <t>0                      PG 3421000N  6                  H  3           1915</t>
        </is>
      </c>
      <c r="D241" t="inlineStr">
        <is>
          <t>Virgin soil.</t>
        </is>
      </c>
      <c r="F241" t="inlineStr">
        <is>
          <t>No</t>
        </is>
      </c>
      <c r="G241" t="inlineStr">
        <is>
          <t>1</t>
        </is>
      </c>
      <c r="H241" t="inlineStr">
        <is>
          <t>No</t>
        </is>
      </c>
      <c r="I241" t="inlineStr">
        <is>
          <t>No</t>
        </is>
      </c>
      <c r="J241" t="inlineStr">
        <is>
          <t>0</t>
        </is>
      </c>
      <c r="K241" t="inlineStr">
        <is>
          <t>Turgenev, Ivan Sergeevich, 1818-1883.</t>
        </is>
      </c>
      <c r="L241" t="inlineStr">
        <is>
          <t>New York, C. Scribner's 1915, [c1904]</t>
        </is>
      </c>
      <c r="M241" t="inlineStr">
        <is>
          <t>1904</t>
        </is>
      </c>
      <c r="O241" t="inlineStr">
        <is>
          <t>eng</t>
        </is>
      </c>
      <c r="P241" t="inlineStr">
        <is>
          <t xml:space="preserve">xx </t>
        </is>
      </c>
      <c r="R241" t="inlineStr">
        <is>
          <t xml:space="preserve">PG </t>
        </is>
      </c>
      <c r="S241" t="n">
        <v>6</v>
      </c>
      <c r="T241" t="n">
        <v>6</v>
      </c>
      <c r="U241" t="inlineStr">
        <is>
          <t>2001-04-19</t>
        </is>
      </c>
      <c r="V241" t="inlineStr">
        <is>
          <t>2001-04-19</t>
        </is>
      </c>
      <c r="W241" t="inlineStr">
        <is>
          <t>1991-12-20</t>
        </is>
      </c>
      <c r="X241" t="inlineStr">
        <is>
          <t>1991-12-20</t>
        </is>
      </c>
      <c r="Y241" t="n">
        <v>20</v>
      </c>
      <c r="Z241" t="n">
        <v>19</v>
      </c>
      <c r="AA241" t="n">
        <v>98</v>
      </c>
      <c r="AB241" t="n">
        <v>1</v>
      </c>
      <c r="AC241" t="n">
        <v>3</v>
      </c>
      <c r="AD241" t="n">
        <v>0</v>
      </c>
      <c r="AE241" t="n">
        <v>5</v>
      </c>
      <c r="AF241" t="n">
        <v>0</v>
      </c>
      <c r="AG241" t="n">
        <v>1</v>
      </c>
      <c r="AH241" t="n">
        <v>0</v>
      </c>
      <c r="AI241" t="n">
        <v>1</v>
      </c>
      <c r="AJ241" t="n">
        <v>0</v>
      </c>
      <c r="AK241" t="n">
        <v>1</v>
      </c>
      <c r="AL241" t="n">
        <v>0</v>
      </c>
      <c r="AM241" t="n">
        <v>2</v>
      </c>
      <c r="AN241" t="n">
        <v>0</v>
      </c>
      <c r="AO241" t="n">
        <v>0</v>
      </c>
      <c r="AP241" t="inlineStr">
        <is>
          <t>No</t>
        </is>
      </c>
      <c r="AQ241" t="inlineStr">
        <is>
          <t>No</t>
        </is>
      </c>
      <c r="AS241">
        <f>HYPERLINK("https://creighton-primo.hosted.exlibrisgroup.com/primo-explore/search?tab=default_tab&amp;search_scope=EVERYTHING&amp;vid=01CRU&amp;lang=en_US&amp;offset=0&amp;query=any,contains,991002377979702656","Catalog Record")</f>
        <v/>
      </c>
      <c r="AT241">
        <f>HYPERLINK("http://www.worldcat.org/oclc/327736","WorldCat Record")</f>
        <v/>
      </c>
      <c r="AU241" t="inlineStr">
        <is>
          <t>8908477036:eng</t>
        </is>
      </c>
      <c r="AV241" t="inlineStr">
        <is>
          <t>327736</t>
        </is>
      </c>
      <c r="AW241" t="inlineStr">
        <is>
          <t>991002377979702656</t>
        </is>
      </c>
      <c r="AX241" t="inlineStr">
        <is>
          <t>991002377979702656</t>
        </is>
      </c>
      <c r="AY241" t="inlineStr">
        <is>
          <t>2272749390002656</t>
        </is>
      </c>
      <c r="AZ241" t="inlineStr">
        <is>
          <t>BOOK</t>
        </is>
      </c>
      <c r="BC241" t="inlineStr">
        <is>
          <t>32285000878271</t>
        </is>
      </c>
      <c r="BD241" t="inlineStr">
        <is>
          <t>893347432</t>
        </is>
      </c>
    </row>
    <row r="242">
      <c r="A242" t="inlineStr">
        <is>
          <t>No</t>
        </is>
      </c>
      <c r="B242" t="inlineStr">
        <is>
          <t>PG3432 1898</t>
        </is>
      </c>
      <c r="C242" t="inlineStr">
        <is>
          <t>0                      PG 3432000               1898</t>
        </is>
      </c>
      <c r="D242" t="inlineStr">
        <is>
          <t>Tourguéneff and his French circle. Edited by E. Halperine-Kaminsky. Translated [from the French] by Ethel M. Arnold.</t>
        </is>
      </c>
      <c r="F242" t="inlineStr">
        <is>
          <t>No</t>
        </is>
      </c>
      <c r="G242" t="inlineStr">
        <is>
          <t>1</t>
        </is>
      </c>
      <c r="H242" t="inlineStr">
        <is>
          <t>No</t>
        </is>
      </c>
      <c r="I242" t="inlineStr">
        <is>
          <t>No</t>
        </is>
      </c>
      <c r="J242" t="inlineStr">
        <is>
          <t>0</t>
        </is>
      </c>
      <c r="K242" t="inlineStr">
        <is>
          <t>Turgenev, Ivan Sergeevich, 1818-1883.</t>
        </is>
      </c>
      <c r="L242" t="inlineStr">
        <is>
          <t>London, T. Fischer Unwin, 1898.</t>
        </is>
      </c>
      <c r="M242" t="inlineStr">
        <is>
          <t>1898</t>
        </is>
      </c>
      <c r="O242" t="inlineStr">
        <is>
          <t>eng</t>
        </is>
      </c>
      <c r="P242" t="inlineStr">
        <is>
          <t xml:space="preserve">xx </t>
        </is>
      </c>
      <c r="R242" t="inlineStr">
        <is>
          <t xml:space="preserve">PG </t>
        </is>
      </c>
      <c r="S242" t="n">
        <v>1</v>
      </c>
      <c r="T242" t="n">
        <v>1</v>
      </c>
      <c r="U242" t="inlineStr">
        <is>
          <t>2006-04-21</t>
        </is>
      </c>
      <c r="V242" t="inlineStr">
        <is>
          <t>2006-04-21</t>
        </is>
      </c>
      <c r="W242" t="inlineStr">
        <is>
          <t>1997-09-08</t>
        </is>
      </c>
      <c r="X242" t="inlineStr">
        <is>
          <t>1997-09-08</t>
        </is>
      </c>
      <c r="Y242" t="n">
        <v>107</v>
      </c>
      <c r="Z242" t="n">
        <v>82</v>
      </c>
      <c r="AA242" t="n">
        <v>140</v>
      </c>
      <c r="AB242" t="n">
        <v>2</v>
      </c>
      <c r="AC242" t="n">
        <v>2</v>
      </c>
      <c r="AD242" t="n">
        <v>3</v>
      </c>
      <c r="AE242" t="n">
        <v>4</v>
      </c>
      <c r="AF242" t="n">
        <v>0</v>
      </c>
      <c r="AG242" t="n">
        <v>0</v>
      </c>
      <c r="AH242" t="n">
        <v>0</v>
      </c>
      <c r="AI242" t="n">
        <v>1</v>
      </c>
      <c r="AJ242" t="n">
        <v>2</v>
      </c>
      <c r="AK242" t="n">
        <v>2</v>
      </c>
      <c r="AL242" t="n">
        <v>1</v>
      </c>
      <c r="AM242" t="n">
        <v>1</v>
      </c>
      <c r="AN242" t="n">
        <v>0</v>
      </c>
      <c r="AO242" t="n">
        <v>0</v>
      </c>
      <c r="AP242" t="inlineStr">
        <is>
          <t>Yes</t>
        </is>
      </c>
      <c r="AQ242" t="inlineStr">
        <is>
          <t>No</t>
        </is>
      </c>
      <c r="AR242">
        <f>HYPERLINK("http://catalog.hathitrust.org/Record/007887947","HathiTrust Record")</f>
        <v/>
      </c>
      <c r="AS242">
        <f>HYPERLINK("https://creighton-primo.hosted.exlibrisgroup.com/primo-explore/search?tab=default_tab&amp;search_scope=EVERYTHING&amp;vid=01CRU&amp;lang=en_US&amp;offset=0&amp;query=any,contains,991003656159702656","Catalog Record")</f>
        <v/>
      </c>
      <c r="AT242">
        <f>HYPERLINK("http://www.worldcat.org/oclc/1260725","WorldCat Record")</f>
        <v/>
      </c>
      <c r="AU242" t="inlineStr">
        <is>
          <t>2182830:eng</t>
        </is>
      </c>
      <c r="AV242" t="inlineStr">
        <is>
          <t>1260725</t>
        </is>
      </c>
      <c r="AW242" t="inlineStr">
        <is>
          <t>991003656159702656</t>
        </is>
      </c>
      <c r="AX242" t="inlineStr">
        <is>
          <t>991003656159702656</t>
        </is>
      </c>
      <c r="AY242" t="inlineStr">
        <is>
          <t>2264970020002656</t>
        </is>
      </c>
      <c r="AZ242" t="inlineStr">
        <is>
          <t>BOOK</t>
        </is>
      </c>
      <c r="BC242" t="inlineStr">
        <is>
          <t>32285003199477</t>
        </is>
      </c>
      <c r="BD242" t="inlineStr">
        <is>
          <t>893429042</t>
        </is>
      </c>
    </row>
    <row r="243">
      <c r="A243" t="inlineStr">
        <is>
          <t>No</t>
        </is>
      </c>
      <c r="B243" t="inlineStr">
        <is>
          <t>PG3435 .P7</t>
        </is>
      </c>
      <c r="C243" t="inlineStr">
        <is>
          <t>0                      PG 3435000P  7</t>
        </is>
      </c>
      <c r="D243" t="inlineStr">
        <is>
          <t>The gentle barbarian : the life and work of Turgenev / V. S. Pritchett.</t>
        </is>
      </c>
      <c r="F243" t="inlineStr">
        <is>
          <t>No</t>
        </is>
      </c>
      <c r="G243" t="inlineStr">
        <is>
          <t>1</t>
        </is>
      </c>
      <c r="H243" t="inlineStr">
        <is>
          <t>No</t>
        </is>
      </c>
      <c r="I243" t="inlineStr">
        <is>
          <t>No</t>
        </is>
      </c>
      <c r="J243" t="inlineStr">
        <is>
          <t>0</t>
        </is>
      </c>
      <c r="K243" t="inlineStr">
        <is>
          <t>Pritchett, V. S. (Victor Sawdon), 1900-1997.</t>
        </is>
      </c>
      <c r="L243" t="inlineStr">
        <is>
          <t>New York : Random House, c1977.</t>
        </is>
      </c>
      <c r="M243" t="inlineStr">
        <is>
          <t>1977</t>
        </is>
      </c>
      <c r="N243" t="inlineStr">
        <is>
          <t>1st ed.</t>
        </is>
      </c>
      <c r="O243" t="inlineStr">
        <is>
          <t>eng</t>
        </is>
      </c>
      <c r="P243" t="inlineStr">
        <is>
          <t>nyu</t>
        </is>
      </c>
      <c r="R243" t="inlineStr">
        <is>
          <t xml:space="preserve">PG </t>
        </is>
      </c>
      <c r="S243" t="n">
        <v>3</v>
      </c>
      <c r="T243" t="n">
        <v>3</v>
      </c>
      <c r="U243" t="inlineStr">
        <is>
          <t>1997-12-05</t>
        </is>
      </c>
      <c r="V243" t="inlineStr">
        <is>
          <t>1997-12-05</t>
        </is>
      </c>
      <c r="W243" t="inlineStr">
        <is>
          <t>1997-09-08</t>
        </is>
      </c>
      <c r="X243" t="inlineStr">
        <is>
          <t>1997-09-08</t>
        </is>
      </c>
      <c r="Y243" t="n">
        <v>936</v>
      </c>
      <c r="Z243" t="n">
        <v>895</v>
      </c>
      <c r="AA243" t="n">
        <v>1052</v>
      </c>
      <c r="AB243" t="n">
        <v>7</v>
      </c>
      <c r="AC243" t="n">
        <v>8</v>
      </c>
      <c r="AD243" t="n">
        <v>30</v>
      </c>
      <c r="AE243" t="n">
        <v>41</v>
      </c>
      <c r="AF243" t="n">
        <v>10</v>
      </c>
      <c r="AG243" t="n">
        <v>15</v>
      </c>
      <c r="AH243" t="n">
        <v>7</v>
      </c>
      <c r="AI243" t="n">
        <v>10</v>
      </c>
      <c r="AJ243" t="n">
        <v>15</v>
      </c>
      <c r="AK243" t="n">
        <v>21</v>
      </c>
      <c r="AL243" t="n">
        <v>5</v>
      </c>
      <c r="AM243" t="n">
        <v>6</v>
      </c>
      <c r="AN243" t="n">
        <v>0</v>
      </c>
      <c r="AO243" t="n">
        <v>0</v>
      </c>
      <c r="AP243" t="inlineStr">
        <is>
          <t>No</t>
        </is>
      </c>
      <c r="AQ243" t="inlineStr">
        <is>
          <t>Yes</t>
        </is>
      </c>
      <c r="AR243">
        <f>HYPERLINK("http://catalog.hathitrust.org/Record/000736674","HathiTrust Record")</f>
        <v/>
      </c>
      <c r="AS243">
        <f>HYPERLINK("https://creighton-primo.hosted.exlibrisgroup.com/primo-explore/search?tab=default_tab&amp;search_scope=EVERYTHING&amp;vid=01CRU&amp;lang=en_US&amp;offset=0&amp;query=any,contains,991004190759702656","Catalog Record")</f>
        <v/>
      </c>
      <c r="AT243">
        <f>HYPERLINK("http://www.worldcat.org/oclc/2632631","WorldCat Record")</f>
        <v/>
      </c>
      <c r="AU243" t="inlineStr">
        <is>
          <t>198859794:eng</t>
        </is>
      </c>
      <c r="AV243" t="inlineStr">
        <is>
          <t>2632631</t>
        </is>
      </c>
      <c r="AW243" t="inlineStr">
        <is>
          <t>991004190759702656</t>
        </is>
      </c>
      <c r="AX243" t="inlineStr">
        <is>
          <t>991004190759702656</t>
        </is>
      </c>
      <c r="AY243" t="inlineStr">
        <is>
          <t>2271701860002656</t>
        </is>
      </c>
      <c r="AZ243" t="inlineStr">
        <is>
          <t>BOOK</t>
        </is>
      </c>
      <c r="BB243" t="inlineStr">
        <is>
          <t>9780394497303</t>
        </is>
      </c>
      <c r="BC243" t="inlineStr">
        <is>
          <t>32285003199493</t>
        </is>
      </c>
      <c r="BD243" t="inlineStr">
        <is>
          <t>893687468</t>
        </is>
      </c>
    </row>
    <row r="244">
      <c r="A244" t="inlineStr">
        <is>
          <t>No</t>
        </is>
      </c>
      <c r="B244" t="inlineStr">
        <is>
          <t>PG3443 .L6 1989</t>
        </is>
      </c>
      <c r="C244" t="inlineStr">
        <is>
          <t>0                      PG 3443000L  6           1989</t>
        </is>
      </c>
      <c r="D244" t="inlineStr">
        <is>
          <t>Critical essays on Ivan Turgenev / David A. Lowe.</t>
        </is>
      </c>
      <c r="F244" t="inlineStr">
        <is>
          <t>No</t>
        </is>
      </c>
      <c r="G244" t="inlineStr">
        <is>
          <t>1</t>
        </is>
      </c>
      <c r="H244" t="inlineStr">
        <is>
          <t>No</t>
        </is>
      </c>
      <c r="I244" t="inlineStr">
        <is>
          <t>No</t>
        </is>
      </c>
      <c r="J244" t="inlineStr">
        <is>
          <t>0</t>
        </is>
      </c>
      <c r="K244" t="inlineStr">
        <is>
          <t>Lowe, David Allan, 1948-2011.</t>
        </is>
      </c>
      <c r="L244" t="inlineStr">
        <is>
          <t>Boston, Mass. : G.K. Hall, c1989.</t>
        </is>
      </c>
      <c r="M244" t="inlineStr">
        <is>
          <t>1989</t>
        </is>
      </c>
      <c r="O244" t="inlineStr">
        <is>
          <t>eng</t>
        </is>
      </c>
      <c r="P244" t="inlineStr">
        <is>
          <t>mau</t>
        </is>
      </c>
      <c r="Q244" t="inlineStr">
        <is>
          <t>Critical essays on world literature</t>
        </is>
      </c>
      <c r="R244" t="inlineStr">
        <is>
          <t xml:space="preserve">PG </t>
        </is>
      </c>
      <c r="S244" t="n">
        <v>6</v>
      </c>
      <c r="T244" t="n">
        <v>6</v>
      </c>
      <c r="U244" t="inlineStr">
        <is>
          <t>1994-02-20</t>
        </is>
      </c>
      <c r="V244" t="inlineStr">
        <is>
          <t>1994-02-20</t>
        </is>
      </c>
      <c r="W244" t="inlineStr">
        <is>
          <t>1992-01-28</t>
        </is>
      </c>
      <c r="X244" t="inlineStr">
        <is>
          <t>1992-01-28</t>
        </is>
      </c>
      <c r="Y244" t="n">
        <v>428</v>
      </c>
      <c r="Z244" t="n">
        <v>374</v>
      </c>
      <c r="AA244" t="n">
        <v>386</v>
      </c>
      <c r="AB244" t="n">
        <v>1</v>
      </c>
      <c r="AC244" t="n">
        <v>1</v>
      </c>
      <c r="AD244" t="n">
        <v>12</v>
      </c>
      <c r="AE244" t="n">
        <v>12</v>
      </c>
      <c r="AF244" t="n">
        <v>3</v>
      </c>
      <c r="AG244" t="n">
        <v>3</v>
      </c>
      <c r="AH244" t="n">
        <v>5</v>
      </c>
      <c r="AI244" t="n">
        <v>5</v>
      </c>
      <c r="AJ244" t="n">
        <v>7</v>
      </c>
      <c r="AK244" t="n">
        <v>7</v>
      </c>
      <c r="AL244" t="n">
        <v>0</v>
      </c>
      <c r="AM244" t="n">
        <v>0</v>
      </c>
      <c r="AN244" t="n">
        <v>0</v>
      </c>
      <c r="AO244" t="n">
        <v>0</v>
      </c>
      <c r="AP244" t="inlineStr">
        <is>
          <t>No</t>
        </is>
      </c>
      <c r="AQ244" t="inlineStr">
        <is>
          <t>Yes</t>
        </is>
      </c>
      <c r="AR244">
        <f>HYPERLINK("http://catalog.hathitrust.org/Record/007106898","HathiTrust Record")</f>
        <v/>
      </c>
      <c r="AS244">
        <f>HYPERLINK("https://creighton-primo.hosted.exlibrisgroup.com/primo-explore/search?tab=default_tab&amp;search_scope=EVERYTHING&amp;vid=01CRU&amp;lang=en_US&amp;offset=0&amp;query=any,contains,991001299069702656","Catalog Record")</f>
        <v/>
      </c>
      <c r="AT244">
        <f>HYPERLINK("http://www.worldcat.org/oclc/18052590","WorldCat Record")</f>
        <v/>
      </c>
      <c r="AU244" t="inlineStr">
        <is>
          <t>20870932:eng</t>
        </is>
      </c>
      <c r="AV244" t="inlineStr">
        <is>
          <t>18052590</t>
        </is>
      </c>
      <c r="AW244" t="inlineStr">
        <is>
          <t>991001299069702656</t>
        </is>
      </c>
      <c r="AX244" t="inlineStr">
        <is>
          <t>991001299069702656</t>
        </is>
      </c>
      <c r="AY244" t="inlineStr">
        <is>
          <t>2267710780002656</t>
        </is>
      </c>
      <c r="AZ244" t="inlineStr">
        <is>
          <t>BOOK</t>
        </is>
      </c>
      <c r="BB244" t="inlineStr">
        <is>
          <t>9780816188420</t>
        </is>
      </c>
      <c r="BC244" t="inlineStr">
        <is>
          <t>32285000919786</t>
        </is>
      </c>
      <c r="BD244" t="inlineStr">
        <is>
          <t>893897689</t>
        </is>
      </c>
    </row>
    <row r="245">
      <c r="A245" t="inlineStr">
        <is>
          <t>No</t>
        </is>
      </c>
      <c r="B245" t="inlineStr">
        <is>
          <t>PG3444.D4 H5 1932</t>
        </is>
      </c>
      <c r="C245" t="inlineStr">
        <is>
          <t>0                      PG 3444000D  4                  H  5           1932</t>
        </is>
      </c>
      <c r="D245" t="inlineStr">
        <is>
          <t>Democratic ideas in Turgenev's works.</t>
        </is>
      </c>
      <c r="F245" t="inlineStr">
        <is>
          <t>No</t>
        </is>
      </c>
      <c r="G245" t="inlineStr">
        <is>
          <t>1</t>
        </is>
      </c>
      <c r="H245" t="inlineStr">
        <is>
          <t>No</t>
        </is>
      </c>
      <c r="I245" t="inlineStr">
        <is>
          <t>No</t>
        </is>
      </c>
      <c r="J245" t="inlineStr">
        <is>
          <t>0</t>
        </is>
      </c>
      <c r="K245" t="inlineStr">
        <is>
          <t>Hershkowitz, Harry, 1886-</t>
        </is>
      </c>
      <c r="L245" t="inlineStr">
        <is>
          <t>New York, Columbia University Press, 1932.</t>
        </is>
      </c>
      <c r="M245" t="inlineStr">
        <is>
          <t>1932</t>
        </is>
      </c>
      <c r="O245" t="inlineStr">
        <is>
          <t>eng</t>
        </is>
      </c>
      <c r="P245" t="inlineStr">
        <is>
          <t xml:space="preserve">xx </t>
        </is>
      </c>
      <c r="Q245" t="inlineStr">
        <is>
          <t>Columbia University Slavonic studies</t>
        </is>
      </c>
      <c r="R245" t="inlineStr">
        <is>
          <t xml:space="preserve">PG </t>
        </is>
      </c>
      <c r="S245" t="n">
        <v>1</v>
      </c>
      <c r="T245" t="n">
        <v>1</v>
      </c>
      <c r="U245" t="inlineStr">
        <is>
          <t>2002-11-17</t>
        </is>
      </c>
      <c r="V245" t="inlineStr">
        <is>
          <t>2002-11-17</t>
        </is>
      </c>
      <c r="W245" t="inlineStr">
        <is>
          <t>1997-09-08</t>
        </is>
      </c>
      <c r="X245" t="inlineStr">
        <is>
          <t>1997-09-08</t>
        </is>
      </c>
      <c r="Y245" t="n">
        <v>129</v>
      </c>
      <c r="Z245" t="n">
        <v>111</v>
      </c>
      <c r="AA245" t="n">
        <v>184</v>
      </c>
      <c r="AB245" t="n">
        <v>2</v>
      </c>
      <c r="AC245" t="n">
        <v>2</v>
      </c>
      <c r="AD245" t="n">
        <v>7</v>
      </c>
      <c r="AE245" t="n">
        <v>9</v>
      </c>
      <c r="AF245" t="n">
        <v>2</v>
      </c>
      <c r="AG245" t="n">
        <v>2</v>
      </c>
      <c r="AH245" t="n">
        <v>1</v>
      </c>
      <c r="AI245" t="n">
        <v>2</v>
      </c>
      <c r="AJ245" t="n">
        <v>4</v>
      </c>
      <c r="AK245" t="n">
        <v>5</v>
      </c>
      <c r="AL245" t="n">
        <v>1</v>
      </c>
      <c r="AM245" t="n">
        <v>1</v>
      </c>
      <c r="AN245" t="n">
        <v>0</v>
      </c>
      <c r="AO245" t="n">
        <v>0</v>
      </c>
      <c r="AP245" t="inlineStr">
        <is>
          <t>Yes</t>
        </is>
      </c>
      <c r="AQ245" t="inlineStr">
        <is>
          <t>No</t>
        </is>
      </c>
      <c r="AR245">
        <f>HYPERLINK("http://catalog.hathitrust.org/Record/001730692","HathiTrust Record")</f>
        <v/>
      </c>
      <c r="AS245">
        <f>HYPERLINK("https://creighton-primo.hosted.exlibrisgroup.com/primo-explore/search?tab=default_tab&amp;search_scope=EVERYTHING&amp;vid=01CRU&amp;lang=en_US&amp;offset=0&amp;query=any,contains,991003218629702656","Catalog Record")</f>
        <v/>
      </c>
      <c r="AT245">
        <f>HYPERLINK("http://www.worldcat.org/oclc/744657","WorldCat Record")</f>
        <v/>
      </c>
      <c r="AU245" t="inlineStr">
        <is>
          <t>1691176:eng</t>
        </is>
      </c>
      <c r="AV245" t="inlineStr">
        <is>
          <t>744657</t>
        </is>
      </c>
      <c r="AW245" t="inlineStr">
        <is>
          <t>991003218629702656</t>
        </is>
      </c>
      <c r="AX245" t="inlineStr">
        <is>
          <t>991003218629702656</t>
        </is>
      </c>
      <c r="AY245" t="inlineStr">
        <is>
          <t>2269471090002656</t>
        </is>
      </c>
      <c r="AZ245" t="inlineStr">
        <is>
          <t>BOOK</t>
        </is>
      </c>
      <c r="BC245" t="inlineStr">
        <is>
          <t>32285003167797</t>
        </is>
      </c>
      <c r="BD245" t="inlineStr">
        <is>
          <t>893617109</t>
        </is>
      </c>
    </row>
    <row r="246">
      <c r="A246" t="inlineStr">
        <is>
          <t>No</t>
        </is>
      </c>
      <c r="B246" t="inlineStr">
        <is>
          <t>PG3447.Z5 Z96</t>
        </is>
      </c>
      <c r="C246" t="inlineStr">
        <is>
          <t>0                      PG 3447000Z  5                  Z  96</t>
        </is>
      </c>
      <c r="D246" t="inlineStr">
        <is>
          <t>Zhukovskiĭ.</t>
        </is>
      </c>
      <c r="F246" t="inlineStr">
        <is>
          <t>No</t>
        </is>
      </c>
      <c r="G246" t="inlineStr">
        <is>
          <t>1</t>
        </is>
      </c>
      <c r="H246" t="inlineStr">
        <is>
          <t>No</t>
        </is>
      </c>
      <c r="I246" t="inlineStr">
        <is>
          <t>No</t>
        </is>
      </c>
      <c r="J246" t="inlineStr">
        <is>
          <t>0</t>
        </is>
      </c>
      <c r="K246" t="inlineStr">
        <is>
          <t>Zaĭt︠s︡ev, Boris, 1881-1972.</t>
        </is>
      </c>
      <c r="L246" t="inlineStr">
        <is>
          <t>Parizh : YMCA-Press, [c1951]</t>
        </is>
      </c>
      <c r="M246" t="inlineStr">
        <is>
          <t>1951</t>
        </is>
      </c>
      <c r="O246" t="inlineStr">
        <is>
          <t>rus</t>
        </is>
      </c>
      <c r="P246" t="inlineStr">
        <is>
          <t xml:space="preserve">ru </t>
        </is>
      </c>
      <c r="R246" t="inlineStr">
        <is>
          <t xml:space="preserve">PG </t>
        </is>
      </c>
      <c r="S246" t="n">
        <v>3</v>
      </c>
      <c r="T246" t="n">
        <v>3</v>
      </c>
      <c r="U246" t="inlineStr">
        <is>
          <t>2003-06-25</t>
        </is>
      </c>
      <c r="V246" t="inlineStr">
        <is>
          <t>2003-06-25</t>
        </is>
      </c>
      <c r="W246" t="inlineStr">
        <is>
          <t>1994-06-10</t>
        </is>
      </c>
      <c r="X246" t="inlineStr">
        <is>
          <t>1994-06-10</t>
        </is>
      </c>
      <c r="Y246" t="n">
        <v>173</v>
      </c>
      <c r="Z246" t="n">
        <v>126</v>
      </c>
      <c r="AA246" t="n">
        <v>128</v>
      </c>
      <c r="AB246" t="n">
        <v>1</v>
      </c>
      <c r="AC246" t="n">
        <v>1</v>
      </c>
      <c r="AD246" t="n">
        <v>2</v>
      </c>
      <c r="AE246" t="n">
        <v>2</v>
      </c>
      <c r="AF246" t="n">
        <v>0</v>
      </c>
      <c r="AG246" t="n">
        <v>0</v>
      </c>
      <c r="AH246" t="n">
        <v>0</v>
      </c>
      <c r="AI246" t="n">
        <v>0</v>
      </c>
      <c r="AJ246" t="n">
        <v>2</v>
      </c>
      <c r="AK246" t="n">
        <v>2</v>
      </c>
      <c r="AL246" t="n">
        <v>0</v>
      </c>
      <c r="AM246" t="n">
        <v>0</v>
      </c>
      <c r="AN246" t="n">
        <v>0</v>
      </c>
      <c r="AO246" t="n">
        <v>0</v>
      </c>
      <c r="AP246" t="inlineStr">
        <is>
          <t>No</t>
        </is>
      </c>
      <c r="AQ246" t="inlineStr">
        <is>
          <t>Yes</t>
        </is>
      </c>
      <c r="AR246">
        <f>HYPERLINK("http://catalog.hathitrust.org/Record/001061491","HathiTrust Record")</f>
        <v/>
      </c>
      <c r="AS246">
        <f>HYPERLINK("https://creighton-primo.hosted.exlibrisgroup.com/primo-explore/search?tab=default_tab&amp;search_scope=EVERYTHING&amp;vid=01CRU&amp;lang=en_US&amp;offset=0&amp;query=any,contains,991003902159702656","Catalog Record")</f>
        <v/>
      </c>
      <c r="AT246">
        <f>HYPERLINK("http://www.worldcat.org/oclc/1828013","WorldCat Record")</f>
        <v/>
      </c>
      <c r="AU246" t="inlineStr">
        <is>
          <t>3768445390:rus</t>
        </is>
      </c>
      <c r="AV246" t="inlineStr">
        <is>
          <t>1828013</t>
        </is>
      </c>
      <c r="AW246" t="inlineStr">
        <is>
          <t>991003902159702656</t>
        </is>
      </c>
      <c r="AX246" t="inlineStr">
        <is>
          <t>991003902159702656</t>
        </is>
      </c>
      <c r="AY246" t="inlineStr">
        <is>
          <t>2272258840002656</t>
        </is>
      </c>
      <c r="AZ246" t="inlineStr">
        <is>
          <t>BOOK</t>
        </is>
      </c>
      <c r="BC246" t="inlineStr">
        <is>
          <t>32285004677000</t>
        </is>
      </c>
      <c r="BD246" t="inlineStr">
        <is>
          <t>893711924</t>
        </is>
      </c>
    </row>
    <row r="247">
      <c r="A247" t="inlineStr">
        <is>
          <t>No</t>
        </is>
      </c>
      <c r="B247" t="inlineStr">
        <is>
          <t>PG3453.B6 Z696 1962</t>
        </is>
      </c>
      <c r="C247" t="inlineStr">
        <is>
          <t>0                      PG 3453000B  6                  Z  696         1962</t>
        </is>
      </c>
      <c r="D247" t="inlineStr">
        <is>
          <t>Aleksandr Blok: between image and idea.</t>
        </is>
      </c>
      <c r="F247" t="inlineStr">
        <is>
          <t>No</t>
        </is>
      </c>
      <c r="G247" t="inlineStr">
        <is>
          <t>1</t>
        </is>
      </c>
      <c r="H247" t="inlineStr">
        <is>
          <t>No</t>
        </is>
      </c>
      <c r="I247" t="inlineStr">
        <is>
          <t>No</t>
        </is>
      </c>
      <c r="J247" t="inlineStr">
        <is>
          <t>0</t>
        </is>
      </c>
      <c r="K247" t="inlineStr">
        <is>
          <t>Reeve, F. D. (Franklin D.), 1928-2013.</t>
        </is>
      </c>
      <c r="L247" t="inlineStr">
        <is>
          <t>New York, Columbia University Press, 1962.</t>
        </is>
      </c>
      <c r="M247" t="inlineStr">
        <is>
          <t>1962</t>
        </is>
      </c>
      <c r="O247" t="inlineStr">
        <is>
          <t>eng</t>
        </is>
      </c>
      <c r="P247" t="inlineStr">
        <is>
          <t xml:space="preserve">xx </t>
        </is>
      </c>
      <c r="Q247" t="inlineStr">
        <is>
          <t>Columbia studies in the humanities ; no. 1</t>
        </is>
      </c>
      <c r="R247" t="inlineStr">
        <is>
          <t xml:space="preserve">PG </t>
        </is>
      </c>
      <c r="S247" t="n">
        <v>3</v>
      </c>
      <c r="T247" t="n">
        <v>3</v>
      </c>
      <c r="U247" t="inlineStr">
        <is>
          <t>1998-09-03</t>
        </is>
      </c>
      <c r="V247" t="inlineStr">
        <is>
          <t>1998-09-03</t>
        </is>
      </c>
      <c r="W247" t="inlineStr">
        <is>
          <t>1997-09-08</t>
        </is>
      </c>
      <c r="X247" t="inlineStr">
        <is>
          <t>1997-09-08</t>
        </is>
      </c>
      <c r="Y247" t="n">
        <v>468</v>
      </c>
      <c r="Z247" t="n">
        <v>413</v>
      </c>
      <c r="AA247" t="n">
        <v>455</v>
      </c>
      <c r="AB247" t="n">
        <v>2</v>
      </c>
      <c r="AC247" t="n">
        <v>2</v>
      </c>
      <c r="AD247" t="n">
        <v>18</v>
      </c>
      <c r="AE247" t="n">
        <v>20</v>
      </c>
      <c r="AF247" t="n">
        <v>6</v>
      </c>
      <c r="AG247" t="n">
        <v>6</v>
      </c>
      <c r="AH247" t="n">
        <v>5</v>
      </c>
      <c r="AI247" t="n">
        <v>7</v>
      </c>
      <c r="AJ247" t="n">
        <v>11</v>
      </c>
      <c r="AK247" t="n">
        <v>13</v>
      </c>
      <c r="AL247" t="n">
        <v>1</v>
      </c>
      <c r="AM247" t="n">
        <v>1</v>
      </c>
      <c r="AN247" t="n">
        <v>0</v>
      </c>
      <c r="AO247" t="n">
        <v>0</v>
      </c>
      <c r="AP247" t="inlineStr">
        <is>
          <t>Yes</t>
        </is>
      </c>
      <c r="AQ247" t="inlineStr">
        <is>
          <t>No</t>
        </is>
      </c>
      <c r="AR247">
        <f>HYPERLINK("http://catalog.hathitrust.org/Record/000966010","HathiTrust Record")</f>
        <v/>
      </c>
      <c r="AS247">
        <f>HYPERLINK("https://creighton-primo.hosted.exlibrisgroup.com/primo-explore/search?tab=default_tab&amp;search_scope=EVERYTHING&amp;vid=01CRU&amp;lang=en_US&amp;offset=0&amp;query=any,contains,991002167939702656","Catalog Record")</f>
        <v/>
      </c>
      <c r="AT247">
        <f>HYPERLINK("http://www.worldcat.org/oclc/275911","WorldCat Record")</f>
        <v/>
      </c>
      <c r="AU247" t="inlineStr">
        <is>
          <t>1411706:eng</t>
        </is>
      </c>
      <c r="AV247" t="inlineStr">
        <is>
          <t>275911</t>
        </is>
      </c>
      <c r="AW247" t="inlineStr">
        <is>
          <t>991002167939702656</t>
        </is>
      </c>
      <c r="AX247" t="inlineStr">
        <is>
          <t>991002167939702656</t>
        </is>
      </c>
      <c r="AY247" t="inlineStr">
        <is>
          <t>2263426710002656</t>
        </is>
      </c>
      <c r="AZ247" t="inlineStr">
        <is>
          <t>BOOK</t>
        </is>
      </c>
      <c r="BC247" t="inlineStr">
        <is>
          <t>32285003199568</t>
        </is>
      </c>
      <c r="BD247" t="inlineStr">
        <is>
          <t>893322634</t>
        </is>
      </c>
    </row>
    <row r="248">
      <c r="A248" t="inlineStr">
        <is>
          <t>No</t>
        </is>
      </c>
      <c r="B248" t="inlineStr">
        <is>
          <t>PG3453.B9 A234 2006</t>
        </is>
      </c>
      <c r="C248" t="inlineStr">
        <is>
          <t>0                      PG 3453000B  9                  A  234         2006</t>
        </is>
      </c>
      <c r="D248" t="inlineStr">
        <is>
          <t>Night of denial : stories and novellas / Ivan Bunin ; translated from the Russian and with notes and an afterword by Robert Bowie.</t>
        </is>
      </c>
      <c r="F248" t="inlineStr">
        <is>
          <t>No</t>
        </is>
      </c>
      <c r="G248" t="inlineStr">
        <is>
          <t>1</t>
        </is>
      </c>
      <c r="H248" t="inlineStr">
        <is>
          <t>No</t>
        </is>
      </c>
      <c r="I248" t="inlineStr">
        <is>
          <t>No</t>
        </is>
      </c>
      <c r="J248" t="inlineStr">
        <is>
          <t>0</t>
        </is>
      </c>
      <c r="K248" t="inlineStr">
        <is>
          <t>Bunin, Ivan Alekseevich, 1870-1953.</t>
        </is>
      </c>
      <c r="L248" t="inlineStr">
        <is>
          <t>Evanston, Ill. : Northwestern University Press, 2006.</t>
        </is>
      </c>
      <c r="M248" t="inlineStr">
        <is>
          <t>2006</t>
        </is>
      </c>
      <c r="O248" t="inlineStr">
        <is>
          <t>eng</t>
        </is>
      </c>
      <c r="P248" t="inlineStr">
        <is>
          <t>ilu</t>
        </is>
      </c>
      <c r="Q248" t="inlineStr">
        <is>
          <t>European classics</t>
        </is>
      </c>
      <c r="R248" t="inlineStr">
        <is>
          <t xml:space="preserve">PG </t>
        </is>
      </c>
      <c r="S248" t="n">
        <v>1</v>
      </c>
      <c r="T248" t="n">
        <v>1</v>
      </c>
      <c r="U248" t="inlineStr">
        <is>
          <t>2006-11-15</t>
        </is>
      </c>
      <c r="V248" t="inlineStr">
        <is>
          <t>2006-11-15</t>
        </is>
      </c>
      <c r="W248" t="inlineStr">
        <is>
          <t>2006-11-15</t>
        </is>
      </c>
      <c r="X248" t="inlineStr">
        <is>
          <t>2006-11-15</t>
        </is>
      </c>
      <c r="Y248" t="n">
        <v>255</v>
      </c>
      <c r="Z248" t="n">
        <v>226</v>
      </c>
      <c r="AA248" t="n">
        <v>243</v>
      </c>
      <c r="AB248" t="n">
        <v>1</v>
      </c>
      <c r="AC248" t="n">
        <v>1</v>
      </c>
      <c r="AD248" t="n">
        <v>6</v>
      </c>
      <c r="AE248" t="n">
        <v>6</v>
      </c>
      <c r="AF248" t="n">
        <v>1</v>
      </c>
      <c r="AG248" t="n">
        <v>1</v>
      </c>
      <c r="AH248" t="n">
        <v>4</v>
      </c>
      <c r="AI248" t="n">
        <v>4</v>
      </c>
      <c r="AJ248" t="n">
        <v>2</v>
      </c>
      <c r="AK248" t="n">
        <v>2</v>
      </c>
      <c r="AL248" t="n">
        <v>0</v>
      </c>
      <c r="AM248" t="n">
        <v>0</v>
      </c>
      <c r="AN248" t="n">
        <v>0</v>
      </c>
      <c r="AO248" t="n">
        <v>0</v>
      </c>
      <c r="AP248" t="inlineStr">
        <is>
          <t>No</t>
        </is>
      </c>
      <c r="AQ248" t="inlineStr">
        <is>
          <t>Yes</t>
        </is>
      </c>
      <c r="AR248">
        <f>HYPERLINK("http://catalog.hathitrust.org/Record/005376685","HathiTrust Record")</f>
        <v/>
      </c>
      <c r="AS248">
        <f>HYPERLINK("https://creighton-primo.hosted.exlibrisgroup.com/primo-explore/search?tab=default_tab&amp;search_scope=EVERYTHING&amp;vid=01CRU&amp;lang=en_US&amp;offset=0&amp;query=any,contains,991004953519702656","Catalog Record")</f>
        <v/>
      </c>
      <c r="AT248">
        <f>HYPERLINK("http://www.worldcat.org/oclc/66527000","WorldCat Record")</f>
        <v/>
      </c>
      <c r="AU248" t="inlineStr">
        <is>
          <t>1059159699:eng</t>
        </is>
      </c>
      <c r="AV248" t="inlineStr">
        <is>
          <t>66527000</t>
        </is>
      </c>
      <c r="AW248" t="inlineStr">
        <is>
          <t>991004953519702656</t>
        </is>
      </c>
      <c r="AX248" t="inlineStr">
        <is>
          <t>991004953519702656</t>
        </is>
      </c>
      <c r="AY248" t="inlineStr">
        <is>
          <t>2269690290002656</t>
        </is>
      </c>
      <c r="AZ248" t="inlineStr">
        <is>
          <t>BOOK</t>
        </is>
      </c>
      <c r="BB248" t="inlineStr">
        <is>
          <t>9780810114036</t>
        </is>
      </c>
      <c r="BC248" t="inlineStr">
        <is>
          <t>32285005239321</t>
        </is>
      </c>
      <c r="BD248" t="inlineStr">
        <is>
          <t>893606630</t>
        </is>
      </c>
    </row>
    <row r="249">
      <c r="A249" t="inlineStr">
        <is>
          <t>No</t>
        </is>
      </c>
      <c r="B249" t="inlineStr">
        <is>
          <t>PG3453.B9 A24 2002</t>
        </is>
      </c>
      <c r="C249" t="inlineStr">
        <is>
          <t>0                      PG 3453000B  9                  A  24          2002</t>
        </is>
      </c>
      <c r="D249" t="inlineStr">
        <is>
          <t>Sunstroke : selected stories of Ivan Bunin / translated from the Russian, and with an introduction by Graham Hettlinger.</t>
        </is>
      </c>
      <c r="F249" t="inlineStr">
        <is>
          <t>No</t>
        </is>
      </c>
      <c r="G249" t="inlineStr">
        <is>
          <t>1</t>
        </is>
      </c>
      <c r="H249" t="inlineStr">
        <is>
          <t>No</t>
        </is>
      </c>
      <c r="I249" t="inlineStr">
        <is>
          <t>No</t>
        </is>
      </c>
      <c r="J249" t="inlineStr">
        <is>
          <t>0</t>
        </is>
      </c>
      <c r="K249" t="inlineStr">
        <is>
          <t>Bunin, Ivan Alekseevich, 1870-1953.</t>
        </is>
      </c>
      <c r="L249" t="inlineStr">
        <is>
          <t>Chicago : Ivan R. Dee, 2002.</t>
        </is>
      </c>
      <c r="M249" t="inlineStr">
        <is>
          <t>2002</t>
        </is>
      </c>
      <c r="O249" t="inlineStr">
        <is>
          <t>eng</t>
        </is>
      </c>
      <c r="P249" t="inlineStr">
        <is>
          <t>ilu</t>
        </is>
      </c>
      <c r="R249" t="inlineStr">
        <is>
          <t xml:space="preserve">PG </t>
        </is>
      </c>
      <c r="S249" t="n">
        <v>2</v>
      </c>
      <c r="T249" t="n">
        <v>2</v>
      </c>
      <c r="U249" t="inlineStr">
        <is>
          <t>2002-08-03</t>
        </is>
      </c>
      <c r="V249" t="inlineStr">
        <is>
          <t>2002-08-03</t>
        </is>
      </c>
      <c r="W249" t="inlineStr">
        <is>
          <t>2002-07-10</t>
        </is>
      </c>
      <c r="X249" t="inlineStr">
        <is>
          <t>2002-07-10</t>
        </is>
      </c>
      <c r="Y249" t="n">
        <v>386</v>
      </c>
      <c r="Z249" t="n">
        <v>359</v>
      </c>
      <c r="AA249" t="n">
        <v>365</v>
      </c>
      <c r="AB249" t="n">
        <v>4</v>
      </c>
      <c r="AC249" t="n">
        <v>4</v>
      </c>
      <c r="AD249" t="n">
        <v>14</v>
      </c>
      <c r="AE249" t="n">
        <v>14</v>
      </c>
      <c r="AF249" t="n">
        <v>3</v>
      </c>
      <c r="AG249" t="n">
        <v>3</v>
      </c>
      <c r="AH249" t="n">
        <v>5</v>
      </c>
      <c r="AI249" t="n">
        <v>5</v>
      </c>
      <c r="AJ249" t="n">
        <v>6</v>
      </c>
      <c r="AK249" t="n">
        <v>6</v>
      </c>
      <c r="AL249" t="n">
        <v>3</v>
      </c>
      <c r="AM249" t="n">
        <v>3</v>
      </c>
      <c r="AN249" t="n">
        <v>0</v>
      </c>
      <c r="AO249" t="n">
        <v>0</v>
      </c>
      <c r="AP249" t="inlineStr">
        <is>
          <t>No</t>
        </is>
      </c>
      <c r="AQ249" t="inlineStr">
        <is>
          <t>No</t>
        </is>
      </c>
      <c r="AS249">
        <f>HYPERLINK("https://creighton-primo.hosted.exlibrisgroup.com/primo-explore/search?tab=default_tab&amp;search_scope=EVERYTHING&amp;vid=01CRU&amp;lang=en_US&amp;offset=0&amp;query=any,contains,991003824629702656","Catalog Record")</f>
        <v/>
      </c>
      <c r="AT249">
        <f>HYPERLINK("http://www.worldcat.org/oclc/48144450","WorldCat Record")</f>
        <v/>
      </c>
      <c r="AU249" t="inlineStr">
        <is>
          <t>1059159612:eng</t>
        </is>
      </c>
      <c r="AV249" t="inlineStr">
        <is>
          <t>48144450</t>
        </is>
      </c>
      <c r="AW249" t="inlineStr">
        <is>
          <t>991003824629702656</t>
        </is>
      </c>
      <c r="AX249" t="inlineStr">
        <is>
          <t>991003824629702656</t>
        </is>
      </c>
      <c r="AY249" t="inlineStr">
        <is>
          <t>2255489770002656</t>
        </is>
      </c>
      <c r="AZ249" t="inlineStr">
        <is>
          <t>BOOK</t>
        </is>
      </c>
      <c r="BB249" t="inlineStr">
        <is>
          <t>9781566634267</t>
        </is>
      </c>
      <c r="BC249" t="inlineStr">
        <is>
          <t>32285004497441</t>
        </is>
      </c>
      <c r="BD249" t="inlineStr">
        <is>
          <t>893324533</t>
        </is>
      </c>
    </row>
    <row r="250">
      <c r="A250" t="inlineStr">
        <is>
          <t>No</t>
        </is>
      </c>
      <c r="B250" t="inlineStr">
        <is>
          <t>PG3455 .A1 1929</t>
        </is>
      </c>
      <c r="C250" t="inlineStr">
        <is>
          <t>0                      PG 3455000A  1           1929</t>
        </is>
      </c>
      <c r="D250" t="inlineStr">
        <is>
          <t>The works of Anton Chekhov.</t>
        </is>
      </c>
      <c r="F250" t="inlineStr">
        <is>
          <t>No</t>
        </is>
      </c>
      <c r="G250" t="inlineStr">
        <is>
          <t>1</t>
        </is>
      </c>
      <c r="H250" t="inlineStr">
        <is>
          <t>No</t>
        </is>
      </c>
      <c r="I250" t="inlineStr">
        <is>
          <t>No</t>
        </is>
      </c>
      <c r="J250" t="inlineStr">
        <is>
          <t>0</t>
        </is>
      </c>
      <c r="K250" t="inlineStr">
        <is>
          <t>Chekhov, Anton Pavlovich, 1860-1904.</t>
        </is>
      </c>
      <c r="L250" t="inlineStr">
        <is>
          <t>New York, N. Y. : W. J. Black, inc., [c1929]</t>
        </is>
      </c>
      <c r="M250" t="inlineStr">
        <is>
          <t>1929</t>
        </is>
      </c>
      <c r="N250" t="inlineStr">
        <is>
          <t>One volume edition</t>
        </is>
      </c>
      <c r="O250" t="inlineStr">
        <is>
          <t>eng</t>
        </is>
      </c>
      <c r="P250" t="inlineStr">
        <is>
          <t>nyu</t>
        </is>
      </c>
      <c r="R250" t="inlineStr">
        <is>
          <t xml:space="preserve">PG </t>
        </is>
      </c>
      <c r="S250" t="n">
        <v>12</v>
      </c>
      <c r="T250" t="n">
        <v>12</v>
      </c>
      <c r="U250" t="inlineStr">
        <is>
          <t>2007-03-18</t>
        </is>
      </c>
      <c r="V250" t="inlineStr">
        <is>
          <t>2007-03-18</t>
        </is>
      </c>
      <c r="W250" t="inlineStr">
        <is>
          <t>1993-03-19</t>
        </is>
      </c>
      <c r="X250" t="inlineStr">
        <is>
          <t>1993-03-19</t>
        </is>
      </c>
      <c r="Y250" t="n">
        <v>318</v>
      </c>
      <c r="Z250" t="n">
        <v>307</v>
      </c>
      <c r="AA250" t="n">
        <v>754</v>
      </c>
      <c r="AB250" t="n">
        <v>3</v>
      </c>
      <c r="AC250" t="n">
        <v>8</v>
      </c>
      <c r="AD250" t="n">
        <v>9</v>
      </c>
      <c r="AE250" t="n">
        <v>18</v>
      </c>
      <c r="AF250" t="n">
        <v>3</v>
      </c>
      <c r="AG250" t="n">
        <v>5</v>
      </c>
      <c r="AH250" t="n">
        <v>2</v>
      </c>
      <c r="AI250" t="n">
        <v>3</v>
      </c>
      <c r="AJ250" t="n">
        <v>5</v>
      </c>
      <c r="AK250" t="n">
        <v>8</v>
      </c>
      <c r="AL250" t="n">
        <v>1</v>
      </c>
      <c r="AM250" t="n">
        <v>5</v>
      </c>
      <c r="AN250" t="n">
        <v>0</v>
      </c>
      <c r="AO250" t="n">
        <v>0</v>
      </c>
      <c r="AP250" t="inlineStr">
        <is>
          <t>Yes</t>
        </is>
      </c>
      <c r="AQ250" t="inlineStr">
        <is>
          <t>Yes</t>
        </is>
      </c>
      <c r="AR250">
        <f>HYPERLINK("http://catalog.hathitrust.org/Record/003252406","HathiTrust Record")</f>
        <v/>
      </c>
      <c r="AS250">
        <f>HYPERLINK("https://creighton-primo.hosted.exlibrisgroup.com/primo-explore/search?tab=default_tab&amp;search_scope=EVERYTHING&amp;vid=01CRU&amp;lang=en_US&amp;offset=0&amp;query=any,contains,991003053849702656","Catalog Record")</f>
        <v/>
      </c>
      <c r="AT250">
        <f>HYPERLINK("http://www.worldcat.org/oclc/612907","WorldCat Record")</f>
        <v/>
      </c>
      <c r="AU250" t="inlineStr">
        <is>
          <t>1651679:eng</t>
        </is>
      </c>
      <c r="AV250" t="inlineStr">
        <is>
          <t>612907</t>
        </is>
      </c>
      <c r="AW250" t="inlineStr">
        <is>
          <t>991003053849702656</t>
        </is>
      </c>
      <c r="AX250" t="inlineStr">
        <is>
          <t>991003053849702656</t>
        </is>
      </c>
      <c r="AY250" t="inlineStr">
        <is>
          <t>2266694190002656</t>
        </is>
      </c>
      <c r="AZ250" t="inlineStr">
        <is>
          <t>BOOK</t>
        </is>
      </c>
      <c r="BC250" t="inlineStr">
        <is>
          <t>32285001575835</t>
        </is>
      </c>
      <c r="BD250" t="inlineStr">
        <is>
          <t>893774350</t>
        </is>
      </c>
    </row>
    <row r="251">
      <c r="A251" t="inlineStr">
        <is>
          <t>No</t>
        </is>
      </c>
      <c r="B251" t="inlineStr">
        <is>
          <t>PG3455 .A15</t>
        </is>
      </c>
      <c r="C251" t="inlineStr">
        <is>
          <t>0                      PG 3455000A  15</t>
        </is>
      </c>
      <c r="D251" t="inlineStr">
        <is>
          <t>Povesti i rasskazy : v trek͡h tomak͡h.</t>
        </is>
      </c>
      <c r="E251" t="inlineStr">
        <is>
          <t>V.3</t>
        </is>
      </c>
      <c r="F251" t="inlineStr">
        <is>
          <t>Yes</t>
        </is>
      </c>
      <c r="G251" t="inlineStr">
        <is>
          <t>1</t>
        </is>
      </c>
      <c r="H251" t="inlineStr">
        <is>
          <t>No</t>
        </is>
      </c>
      <c r="I251" t="inlineStr">
        <is>
          <t>No</t>
        </is>
      </c>
      <c r="J251" t="inlineStr">
        <is>
          <t>0</t>
        </is>
      </c>
      <c r="K251" t="inlineStr">
        <is>
          <t>Chekhov, Anton Pavlovich, 1860-1904.</t>
        </is>
      </c>
      <c r="L251" t="inlineStr">
        <is>
          <t>Moskva : Gosud. Izd-voK͡hudozh. Lit-ry, 1959.</t>
        </is>
      </c>
      <c r="M251" t="inlineStr">
        <is>
          <t>1959</t>
        </is>
      </c>
      <c r="O251" t="inlineStr">
        <is>
          <t>rus</t>
        </is>
      </c>
      <c r="P251" t="inlineStr">
        <is>
          <t xml:space="preserve">ru </t>
        </is>
      </c>
      <c r="R251" t="inlineStr">
        <is>
          <t xml:space="preserve">PG </t>
        </is>
      </c>
      <c r="S251" t="n">
        <v>5</v>
      </c>
      <c r="T251" t="n">
        <v>5</v>
      </c>
      <c r="U251" t="inlineStr">
        <is>
          <t>2001-10-27</t>
        </is>
      </c>
      <c r="V251" t="inlineStr">
        <is>
          <t>2001-10-27</t>
        </is>
      </c>
      <c r="W251" t="inlineStr">
        <is>
          <t>1995-03-27</t>
        </is>
      </c>
      <c r="X251" t="inlineStr">
        <is>
          <t>1995-03-27</t>
        </is>
      </c>
      <c r="Y251" t="n">
        <v>46</v>
      </c>
      <c r="Z251" t="n">
        <v>38</v>
      </c>
      <c r="AA251" t="n">
        <v>40</v>
      </c>
      <c r="AB251" t="n">
        <v>1</v>
      </c>
      <c r="AC251" t="n">
        <v>1</v>
      </c>
      <c r="AD251" t="n">
        <v>3</v>
      </c>
      <c r="AE251" t="n">
        <v>3</v>
      </c>
      <c r="AF251" t="n">
        <v>0</v>
      </c>
      <c r="AG251" t="n">
        <v>0</v>
      </c>
      <c r="AH251" t="n">
        <v>1</v>
      </c>
      <c r="AI251" t="n">
        <v>1</v>
      </c>
      <c r="AJ251" t="n">
        <v>2</v>
      </c>
      <c r="AK251" t="n">
        <v>2</v>
      </c>
      <c r="AL251" t="n">
        <v>0</v>
      </c>
      <c r="AM251" t="n">
        <v>0</v>
      </c>
      <c r="AN251" t="n">
        <v>0</v>
      </c>
      <c r="AO251" t="n">
        <v>0</v>
      </c>
      <c r="AP251" t="inlineStr">
        <is>
          <t>No</t>
        </is>
      </c>
      <c r="AQ251" t="inlineStr">
        <is>
          <t>Yes</t>
        </is>
      </c>
      <c r="AR251">
        <f>HYPERLINK("http://catalog.hathitrust.org/Record/001847319","HathiTrust Record")</f>
        <v/>
      </c>
      <c r="AS251">
        <f>HYPERLINK("https://creighton-primo.hosted.exlibrisgroup.com/primo-explore/search?tab=default_tab&amp;search_scope=EVERYTHING&amp;vid=01CRU&amp;lang=en_US&amp;offset=0&amp;query=any,contains,991005094529702656","Catalog Record")</f>
        <v/>
      </c>
      <c r="AT251">
        <f>HYPERLINK("http://www.worldcat.org/oclc/7266796","WorldCat Record")</f>
        <v/>
      </c>
      <c r="AU251" t="inlineStr">
        <is>
          <t>10032752466:rus</t>
        </is>
      </c>
      <c r="AV251" t="inlineStr">
        <is>
          <t>7266796</t>
        </is>
      </c>
      <c r="AW251" t="inlineStr">
        <is>
          <t>991005094529702656</t>
        </is>
      </c>
      <c r="AX251" t="inlineStr">
        <is>
          <t>991005094529702656</t>
        </is>
      </c>
      <c r="AY251" t="inlineStr">
        <is>
          <t>2255259680002656</t>
        </is>
      </c>
      <c r="AZ251" t="inlineStr">
        <is>
          <t>BOOK</t>
        </is>
      </c>
      <c r="BC251" t="inlineStr">
        <is>
          <t>32285002014404</t>
        </is>
      </c>
      <c r="BD251" t="inlineStr">
        <is>
          <t>893600601</t>
        </is>
      </c>
    </row>
    <row r="252">
      <c r="A252" t="inlineStr">
        <is>
          <t>No</t>
        </is>
      </c>
      <c r="B252" t="inlineStr">
        <is>
          <t>PG3455.A2 D7</t>
        </is>
      </c>
      <c r="C252" t="inlineStr">
        <is>
          <t>0                      PG 3455000A  2                  D  7</t>
        </is>
      </c>
      <c r="D252" t="inlineStr">
        <is>
          <t>Ward six, and other stories / by Anton Chekhov. A new translation by Ann Dunnigan. With an afterword by Rufus W. Mathewson.</t>
        </is>
      </c>
      <c r="F252" t="inlineStr">
        <is>
          <t>No</t>
        </is>
      </c>
      <c r="G252" t="inlineStr">
        <is>
          <t>1</t>
        </is>
      </c>
      <c r="H252" t="inlineStr">
        <is>
          <t>No</t>
        </is>
      </c>
      <c r="I252" t="inlineStr">
        <is>
          <t>Yes</t>
        </is>
      </c>
      <c r="J252" t="inlineStr">
        <is>
          <t>0</t>
        </is>
      </c>
      <c r="K252" t="inlineStr">
        <is>
          <t>Chekhov, Anton Pavlovich, 1860-1904.</t>
        </is>
      </c>
      <c r="L252" t="inlineStr">
        <is>
          <t>[New York] : New American Library, c1965.</t>
        </is>
      </c>
      <c r="M252" t="inlineStr">
        <is>
          <t>1965</t>
        </is>
      </c>
      <c r="O252" t="inlineStr">
        <is>
          <t>eng</t>
        </is>
      </c>
      <c r="P252" t="inlineStr">
        <is>
          <t>___</t>
        </is>
      </c>
      <c r="Q252" t="inlineStr">
        <is>
          <t>A Signet classic, CT290</t>
        </is>
      </c>
      <c r="R252" t="inlineStr">
        <is>
          <t xml:space="preserve">PG </t>
        </is>
      </c>
      <c r="S252" t="n">
        <v>1</v>
      </c>
      <c r="T252" t="n">
        <v>1</v>
      </c>
      <c r="U252" t="inlineStr">
        <is>
          <t>2009-07-14</t>
        </is>
      </c>
      <c r="V252" t="inlineStr">
        <is>
          <t>2009-07-14</t>
        </is>
      </c>
      <c r="W252" t="inlineStr">
        <is>
          <t>1996-12-16</t>
        </is>
      </c>
      <c r="X252" t="inlineStr">
        <is>
          <t>1996-12-16</t>
        </is>
      </c>
      <c r="Y252" t="n">
        <v>304</v>
      </c>
      <c r="Z252" t="n">
        <v>263</v>
      </c>
      <c r="AA252" t="n">
        <v>4456</v>
      </c>
      <c r="AB252" t="n">
        <v>3</v>
      </c>
      <c r="AC252" t="n">
        <v>37</v>
      </c>
      <c r="AD252" t="n">
        <v>9</v>
      </c>
      <c r="AE252" t="n">
        <v>74</v>
      </c>
      <c r="AF252" t="n">
        <v>2</v>
      </c>
      <c r="AG252" t="n">
        <v>29</v>
      </c>
      <c r="AH252" t="n">
        <v>3</v>
      </c>
      <c r="AI252" t="n">
        <v>11</v>
      </c>
      <c r="AJ252" t="n">
        <v>5</v>
      </c>
      <c r="AK252" t="n">
        <v>29</v>
      </c>
      <c r="AL252" t="n">
        <v>2</v>
      </c>
      <c r="AM252" t="n">
        <v>17</v>
      </c>
      <c r="AN252" t="n">
        <v>0</v>
      </c>
      <c r="AO252" t="n">
        <v>2</v>
      </c>
      <c r="AP252" t="inlineStr">
        <is>
          <t>No</t>
        </is>
      </c>
      <c r="AQ252" t="inlineStr">
        <is>
          <t>No</t>
        </is>
      </c>
      <c r="AS252">
        <f>HYPERLINK("https://creighton-primo.hosted.exlibrisgroup.com/primo-explore/search?tab=default_tab&amp;search_scope=EVERYTHING&amp;vid=01CRU&amp;lang=en_US&amp;offset=0&amp;query=any,contains,991003463639702656","Catalog Record")</f>
        <v/>
      </c>
      <c r="AT252">
        <f>HYPERLINK("http://www.worldcat.org/oclc/1005623","WorldCat Record")</f>
        <v/>
      </c>
      <c r="AU252" t="inlineStr">
        <is>
          <t>4494917515:eng</t>
        </is>
      </c>
      <c r="AV252" t="inlineStr">
        <is>
          <t>1005623</t>
        </is>
      </c>
      <c r="AW252" t="inlineStr">
        <is>
          <t>991003463639702656</t>
        </is>
      </c>
      <c r="AX252" t="inlineStr">
        <is>
          <t>991003463639702656</t>
        </is>
      </c>
      <c r="AY252" t="inlineStr">
        <is>
          <t>2256479270002656</t>
        </is>
      </c>
      <c r="AZ252" t="inlineStr">
        <is>
          <t>BOOK</t>
        </is>
      </c>
      <c r="BC252" t="inlineStr">
        <is>
          <t>32285002347085</t>
        </is>
      </c>
      <c r="BD252" t="inlineStr">
        <is>
          <t>893881182</t>
        </is>
      </c>
    </row>
    <row r="253">
      <c r="A253" t="inlineStr">
        <is>
          <t>No</t>
        </is>
      </c>
      <c r="B253" t="inlineStr">
        <is>
          <t>PG3456 .A1 1965</t>
        </is>
      </c>
      <c r="C253" t="inlineStr">
        <is>
          <t>0                      PG 3456000A  1           1965</t>
        </is>
      </c>
      <c r="D253" t="inlineStr">
        <is>
          <t>The Oxford Chekhov. Translated and edited by Ronald Hingley.</t>
        </is>
      </c>
      <c r="F253" t="inlineStr">
        <is>
          <t>No</t>
        </is>
      </c>
      <c r="G253" t="inlineStr">
        <is>
          <t>1</t>
        </is>
      </c>
      <c r="H253" t="inlineStr">
        <is>
          <t>Yes</t>
        </is>
      </c>
      <c r="I253" t="inlineStr">
        <is>
          <t>No</t>
        </is>
      </c>
      <c r="J253" t="inlineStr">
        <is>
          <t>0</t>
        </is>
      </c>
      <c r="K253" t="inlineStr">
        <is>
          <t>Chekhov, Anton Pavlovich, 1860-1904.</t>
        </is>
      </c>
      <c r="L253" t="inlineStr">
        <is>
          <t>London, New York, Oxford University Press, 1964 [i.e. 1965]-</t>
        </is>
      </c>
      <c r="M253" t="inlineStr">
        <is>
          <t>1965</t>
        </is>
      </c>
      <c r="O253" t="inlineStr">
        <is>
          <t>eng</t>
        </is>
      </c>
      <c r="P253" t="inlineStr">
        <is>
          <t>enk</t>
        </is>
      </c>
      <c r="R253" t="inlineStr">
        <is>
          <t xml:space="preserve">PG </t>
        </is>
      </c>
      <c r="S253" t="n">
        <v>2</v>
      </c>
      <c r="T253" t="n">
        <v>9</v>
      </c>
      <c r="U253" t="inlineStr">
        <is>
          <t>1994-08-31</t>
        </is>
      </c>
      <c r="V253" t="inlineStr">
        <is>
          <t>1999-10-17</t>
        </is>
      </c>
      <c r="W253" t="inlineStr">
        <is>
          <t>1991-12-09</t>
        </is>
      </c>
      <c r="X253" t="inlineStr">
        <is>
          <t>1993-04-28</t>
        </is>
      </c>
      <c r="Y253" t="n">
        <v>1053</v>
      </c>
      <c r="Z253" t="n">
        <v>953</v>
      </c>
      <c r="AA253" t="n">
        <v>1037</v>
      </c>
      <c r="AB253" t="n">
        <v>6</v>
      </c>
      <c r="AC253" t="n">
        <v>8</v>
      </c>
      <c r="AD253" t="n">
        <v>33</v>
      </c>
      <c r="AE253" t="n">
        <v>38</v>
      </c>
      <c r="AF253" t="n">
        <v>15</v>
      </c>
      <c r="AG253" t="n">
        <v>17</v>
      </c>
      <c r="AH253" t="n">
        <v>8</v>
      </c>
      <c r="AI253" t="n">
        <v>9</v>
      </c>
      <c r="AJ253" t="n">
        <v>14</v>
      </c>
      <c r="AK253" t="n">
        <v>16</v>
      </c>
      <c r="AL253" t="n">
        <v>4</v>
      </c>
      <c r="AM253" t="n">
        <v>6</v>
      </c>
      <c r="AN253" t="n">
        <v>0</v>
      </c>
      <c r="AO253" t="n">
        <v>0</v>
      </c>
      <c r="AP253" t="inlineStr">
        <is>
          <t>No</t>
        </is>
      </c>
      <c r="AQ253" t="inlineStr">
        <is>
          <t>Yes</t>
        </is>
      </c>
      <c r="AR253">
        <f>HYPERLINK("http://catalog.hathitrust.org/Record/000238798","HathiTrust Record")</f>
        <v/>
      </c>
      <c r="AS253">
        <f>HYPERLINK("https://creighton-primo.hosted.exlibrisgroup.com/primo-explore/search?tab=default_tab&amp;search_scope=EVERYTHING&amp;vid=01CRU&amp;lang=en_US&amp;offset=0&amp;query=any,contains,991001138309702656","Catalog Record")</f>
        <v/>
      </c>
      <c r="AT253">
        <f>HYPERLINK("http://www.worldcat.org/oclc/185344","WorldCat Record")</f>
        <v/>
      </c>
      <c r="AU253" t="inlineStr">
        <is>
          <t>198296309:eng</t>
        </is>
      </c>
      <c r="AV253" t="inlineStr">
        <is>
          <t>185344</t>
        </is>
      </c>
      <c r="AW253" t="inlineStr">
        <is>
          <t>991001138309702656</t>
        </is>
      </c>
      <c r="AX253" t="inlineStr">
        <is>
          <t>991001138309702656</t>
        </is>
      </c>
      <c r="AY253" t="inlineStr">
        <is>
          <t>2270823030002656</t>
        </is>
      </c>
      <c r="AZ253" t="inlineStr">
        <is>
          <t>BOOK</t>
        </is>
      </c>
      <c r="BC253" t="inlineStr">
        <is>
          <t>32285000885607</t>
        </is>
      </c>
      <c r="BD253" t="inlineStr">
        <is>
          <t>893778591</t>
        </is>
      </c>
    </row>
    <row r="254">
      <c r="A254" t="inlineStr">
        <is>
          <t>No</t>
        </is>
      </c>
      <c r="B254" t="inlineStr">
        <is>
          <t>PG3456 .A1 1965 V.4</t>
        </is>
      </c>
      <c r="C254" t="inlineStr">
        <is>
          <t>0                      PG 3456000A  1           1965                                        V.4</t>
        </is>
      </c>
      <c r="D254" t="inlineStr">
        <is>
          <t>The Oxford Chekhov. Translated and edited by Ronald Hingley.</t>
        </is>
      </c>
      <c r="E254" t="inlineStr">
        <is>
          <t>V.4*</t>
        </is>
      </c>
      <c r="F254" t="inlineStr">
        <is>
          <t>No</t>
        </is>
      </c>
      <c r="G254" t="inlineStr">
        <is>
          <t>1</t>
        </is>
      </c>
      <c r="H254" t="inlineStr">
        <is>
          <t>No</t>
        </is>
      </c>
      <c r="I254" t="inlineStr">
        <is>
          <t>No</t>
        </is>
      </c>
      <c r="J254" t="inlineStr">
        <is>
          <t>0</t>
        </is>
      </c>
      <c r="K254" t="inlineStr">
        <is>
          <t>Chekhov, Anton Pavlovich, 1860-1904.</t>
        </is>
      </c>
      <c r="L254" t="inlineStr">
        <is>
          <t>London, New York, Oxford University Press, 1964 [i.e. 1965]-</t>
        </is>
      </c>
      <c r="M254" t="inlineStr">
        <is>
          <t>1965</t>
        </is>
      </c>
      <c r="O254" t="inlineStr">
        <is>
          <t>eng</t>
        </is>
      </c>
      <c r="P254" t="inlineStr">
        <is>
          <t>enk</t>
        </is>
      </c>
      <c r="R254" t="inlineStr">
        <is>
          <t xml:space="preserve">PG </t>
        </is>
      </c>
      <c r="S254" t="n">
        <v>7</v>
      </c>
      <c r="T254" t="n">
        <v>9</v>
      </c>
      <c r="U254" t="inlineStr">
        <is>
          <t>1999-10-17</t>
        </is>
      </c>
      <c r="V254" t="inlineStr">
        <is>
          <t>1999-10-17</t>
        </is>
      </c>
      <c r="W254" t="inlineStr">
        <is>
          <t>1993-04-28</t>
        </is>
      </c>
      <c r="X254" t="inlineStr">
        <is>
          <t>1993-04-28</t>
        </is>
      </c>
      <c r="Y254" t="n">
        <v>1053</v>
      </c>
      <c r="Z254" t="n">
        <v>953</v>
      </c>
      <c r="AA254" t="n">
        <v>1037</v>
      </c>
      <c r="AB254" t="n">
        <v>6</v>
      </c>
      <c r="AC254" t="n">
        <v>8</v>
      </c>
      <c r="AD254" t="n">
        <v>33</v>
      </c>
      <c r="AE254" t="n">
        <v>38</v>
      </c>
      <c r="AF254" t="n">
        <v>15</v>
      </c>
      <c r="AG254" t="n">
        <v>17</v>
      </c>
      <c r="AH254" t="n">
        <v>8</v>
      </c>
      <c r="AI254" t="n">
        <v>9</v>
      </c>
      <c r="AJ254" t="n">
        <v>14</v>
      </c>
      <c r="AK254" t="n">
        <v>16</v>
      </c>
      <c r="AL254" t="n">
        <v>4</v>
      </c>
      <c r="AM254" t="n">
        <v>6</v>
      </c>
      <c r="AN254" t="n">
        <v>0</v>
      </c>
      <c r="AO254" t="n">
        <v>0</v>
      </c>
      <c r="AP254" t="inlineStr">
        <is>
          <t>No</t>
        </is>
      </c>
      <c r="AQ254" t="inlineStr">
        <is>
          <t>Yes</t>
        </is>
      </c>
      <c r="AR254">
        <f>HYPERLINK("http://catalog.hathitrust.org/Record/000238798","HathiTrust Record")</f>
        <v/>
      </c>
      <c r="AS254">
        <f>HYPERLINK("https://creighton-primo.hosted.exlibrisgroup.com/primo-explore/search?tab=default_tab&amp;search_scope=EVERYTHING&amp;vid=01CRU&amp;lang=en_US&amp;offset=0&amp;query=any,contains,991001138309702656","Catalog Record")</f>
        <v/>
      </c>
      <c r="AT254">
        <f>HYPERLINK("http://www.worldcat.org/oclc/185344","WorldCat Record")</f>
        <v/>
      </c>
      <c r="AU254" t="inlineStr">
        <is>
          <t>198296309:eng</t>
        </is>
      </c>
      <c r="AV254" t="inlineStr">
        <is>
          <t>185344</t>
        </is>
      </c>
      <c r="AW254" t="inlineStr">
        <is>
          <t>991001138309702656</t>
        </is>
      </c>
      <c r="AX254" t="inlineStr">
        <is>
          <t>991001138309702656</t>
        </is>
      </c>
      <c r="AY254" t="inlineStr">
        <is>
          <t>2270823030002656</t>
        </is>
      </c>
      <c r="AZ254" t="inlineStr">
        <is>
          <t>BOOK</t>
        </is>
      </c>
      <c r="BC254" t="inlineStr">
        <is>
          <t>32285001649473</t>
        </is>
      </c>
      <c r="BD254" t="inlineStr">
        <is>
          <t>893784859</t>
        </is>
      </c>
    </row>
    <row r="255">
      <c r="A255" t="inlineStr">
        <is>
          <t>No</t>
        </is>
      </c>
      <c r="B255" t="inlineStr">
        <is>
          <t>PG3456.A13 L5</t>
        </is>
      </c>
      <c r="C255" t="inlineStr">
        <is>
          <t>0                      PG 3456000A  13                 L  5</t>
        </is>
      </c>
      <c r="D255" t="inlineStr">
        <is>
          <t>The stories of Anton Tchekov / edited, with an introduction, by Robert N. Linscott.</t>
        </is>
      </c>
      <c r="F255" t="inlineStr">
        <is>
          <t>No</t>
        </is>
      </c>
      <c r="G255" t="inlineStr">
        <is>
          <t>1</t>
        </is>
      </c>
      <c r="H255" t="inlineStr">
        <is>
          <t>No</t>
        </is>
      </c>
      <c r="I255" t="inlineStr">
        <is>
          <t>Yes</t>
        </is>
      </c>
      <c r="J255" t="inlineStr">
        <is>
          <t>0</t>
        </is>
      </c>
      <c r="K255" t="inlineStr">
        <is>
          <t>Chekhov, Anton Pavlovich, 1860-1904.</t>
        </is>
      </c>
      <c r="L255" t="inlineStr">
        <is>
          <t>New York : The Modern Library, [c1932]</t>
        </is>
      </c>
      <c r="M255" t="inlineStr">
        <is>
          <t>1932</t>
        </is>
      </c>
      <c r="O255" t="inlineStr">
        <is>
          <t>eng</t>
        </is>
      </c>
      <c r="P255" t="inlineStr">
        <is>
          <t>nyu</t>
        </is>
      </c>
      <c r="Q255" t="inlineStr">
        <is>
          <t>The modern library of the world's best books</t>
        </is>
      </c>
      <c r="R255" t="inlineStr">
        <is>
          <t xml:space="preserve">PG </t>
        </is>
      </c>
      <c r="S255" t="n">
        <v>2</v>
      </c>
      <c r="T255" t="n">
        <v>2</v>
      </c>
      <c r="U255" t="inlineStr">
        <is>
          <t>2002-04-25</t>
        </is>
      </c>
      <c r="V255" t="inlineStr">
        <is>
          <t>2002-04-25</t>
        </is>
      </c>
      <c r="W255" t="inlineStr">
        <is>
          <t>1993-07-13</t>
        </is>
      </c>
      <c r="X255" t="inlineStr">
        <is>
          <t>1993-07-13</t>
        </is>
      </c>
      <c r="Y255" t="n">
        <v>356</v>
      </c>
      <c r="Z255" t="n">
        <v>342</v>
      </c>
      <c r="AA255" t="n">
        <v>4456</v>
      </c>
      <c r="AB255" t="n">
        <v>3</v>
      </c>
      <c r="AC255" t="n">
        <v>37</v>
      </c>
      <c r="AD255" t="n">
        <v>8</v>
      </c>
      <c r="AE255" t="n">
        <v>74</v>
      </c>
      <c r="AF255" t="n">
        <v>3</v>
      </c>
      <c r="AG255" t="n">
        <v>29</v>
      </c>
      <c r="AH255" t="n">
        <v>0</v>
      </c>
      <c r="AI255" t="n">
        <v>11</v>
      </c>
      <c r="AJ255" t="n">
        <v>4</v>
      </c>
      <c r="AK255" t="n">
        <v>29</v>
      </c>
      <c r="AL255" t="n">
        <v>2</v>
      </c>
      <c r="AM255" t="n">
        <v>17</v>
      </c>
      <c r="AN255" t="n">
        <v>0</v>
      </c>
      <c r="AO255" t="n">
        <v>2</v>
      </c>
      <c r="AP255" t="inlineStr">
        <is>
          <t>No</t>
        </is>
      </c>
      <c r="AQ255" t="inlineStr">
        <is>
          <t>No</t>
        </is>
      </c>
      <c r="AS255">
        <f>HYPERLINK("https://creighton-primo.hosted.exlibrisgroup.com/primo-explore/search?tab=default_tab&amp;search_scope=EVERYTHING&amp;vid=01CRU&amp;lang=en_US&amp;offset=0&amp;query=any,contains,991003035179702656","Catalog Record")</f>
        <v/>
      </c>
      <c r="AT255">
        <f>HYPERLINK("http://www.worldcat.org/oclc/598053","WorldCat Record")</f>
        <v/>
      </c>
      <c r="AU255" t="inlineStr">
        <is>
          <t>4494917515:eng</t>
        </is>
      </c>
      <c r="AV255" t="inlineStr">
        <is>
          <t>598053</t>
        </is>
      </c>
      <c r="AW255" t="inlineStr">
        <is>
          <t>991003035179702656</t>
        </is>
      </c>
      <c r="AX255" t="inlineStr">
        <is>
          <t>991003035179702656</t>
        </is>
      </c>
      <c r="AY255" t="inlineStr">
        <is>
          <t>2271192540002656</t>
        </is>
      </c>
      <c r="AZ255" t="inlineStr">
        <is>
          <t>BOOK</t>
        </is>
      </c>
      <c r="BC255" t="inlineStr">
        <is>
          <t>32285001722130</t>
        </is>
      </c>
      <c r="BD255" t="inlineStr">
        <is>
          <t>893704841</t>
        </is>
      </c>
    </row>
    <row r="256">
      <c r="A256" t="inlineStr">
        <is>
          <t>No</t>
        </is>
      </c>
      <c r="B256" t="inlineStr">
        <is>
          <t>PG3456.A13 L55 1973</t>
        </is>
      </c>
      <c r="C256" t="inlineStr">
        <is>
          <t>0                      PG 3456000A  13                 L  55          1973</t>
        </is>
      </c>
      <c r="D256" t="inlineStr">
        <is>
          <t>Selected works in two volumes / Anton Chekhov ; [translated from the Russian by Ivy Litvinov].</t>
        </is>
      </c>
      <c r="E256" t="inlineStr">
        <is>
          <t>V.2</t>
        </is>
      </c>
      <c r="F256" t="inlineStr">
        <is>
          <t>Yes</t>
        </is>
      </c>
      <c r="G256" t="inlineStr">
        <is>
          <t>1</t>
        </is>
      </c>
      <c r="H256" t="inlineStr">
        <is>
          <t>No</t>
        </is>
      </c>
      <c r="I256" t="inlineStr">
        <is>
          <t>No</t>
        </is>
      </c>
      <c r="J256" t="inlineStr">
        <is>
          <t>0</t>
        </is>
      </c>
      <c r="K256" t="inlineStr">
        <is>
          <t>Chekhov, Anton Pavlovich, 1860-1904.</t>
        </is>
      </c>
      <c r="L256" t="inlineStr">
        <is>
          <t>Moscow : Progress Publishers, 1973.</t>
        </is>
      </c>
      <c r="M256" t="inlineStr">
        <is>
          <t>1973</t>
        </is>
      </c>
      <c r="O256" t="inlineStr">
        <is>
          <t>eng</t>
        </is>
      </c>
      <c r="P256" t="inlineStr">
        <is>
          <t>rur</t>
        </is>
      </c>
      <c r="Q256" t="inlineStr">
        <is>
          <t>Russian classics series</t>
        </is>
      </c>
      <c r="R256" t="inlineStr">
        <is>
          <t xml:space="preserve">PG </t>
        </is>
      </c>
      <c r="S256" t="n">
        <v>9</v>
      </c>
      <c r="T256" t="n">
        <v>21</v>
      </c>
      <c r="U256" t="inlineStr">
        <is>
          <t>2005-04-23</t>
        </is>
      </c>
      <c r="V256" t="inlineStr">
        <is>
          <t>2005-04-23</t>
        </is>
      </c>
      <c r="W256" t="inlineStr">
        <is>
          <t>1991-12-06</t>
        </is>
      </c>
      <c r="X256" t="inlineStr">
        <is>
          <t>1991-12-06</t>
        </is>
      </c>
      <c r="Y256" t="n">
        <v>148</v>
      </c>
      <c r="Z256" t="n">
        <v>124</v>
      </c>
      <c r="AA256" t="n">
        <v>137</v>
      </c>
      <c r="AB256" t="n">
        <v>2</v>
      </c>
      <c r="AC256" t="n">
        <v>2</v>
      </c>
      <c r="AD256" t="n">
        <v>3</v>
      </c>
      <c r="AE256" t="n">
        <v>3</v>
      </c>
      <c r="AF256" t="n">
        <v>0</v>
      </c>
      <c r="AG256" t="n">
        <v>0</v>
      </c>
      <c r="AH256" t="n">
        <v>0</v>
      </c>
      <c r="AI256" t="n">
        <v>0</v>
      </c>
      <c r="AJ256" t="n">
        <v>2</v>
      </c>
      <c r="AK256" t="n">
        <v>2</v>
      </c>
      <c r="AL256" t="n">
        <v>1</v>
      </c>
      <c r="AM256" t="n">
        <v>1</v>
      </c>
      <c r="AN256" t="n">
        <v>0</v>
      </c>
      <c r="AO256" t="n">
        <v>0</v>
      </c>
      <c r="AP256" t="inlineStr">
        <is>
          <t>No</t>
        </is>
      </c>
      <c r="AQ256" t="inlineStr">
        <is>
          <t>Yes</t>
        </is>
      </c>
      <c r="AR256">
        <f>HYPERLINK("http://catalog.hathitrust.org/Record/000718282","HathiTrust Record")</f>
        <v/>
      </c>
      <c r="AS256">
        <f>HYPERLINK("https://creighton-primo.hosted.exlibrisgroup.com/primo-explore/search?tab=default_tab&amp;search_scope=EVERYTHING&amp;vid=01CRU&amp;lang=en_US&amp;offset=0&amp;query=any,contains,991003799399702656","Catalog Record")</f>
        <v/>
      </c>
      <c r="AT256">
        <f>HYPERLINK("http://www.worldcat.org/oclc/1525524","WorldCat Record")</f>
        <v/>
      </c>
      <c r="AU256" t="inlineStr">
        <is>
          <t>197875007:eng</t>
        </is>
      </c>
      <c r="AV256" t="inlineStr">
        <is>
          <t>1525524</t>
        </is>
      </c>
      <c r="AW256" t="inlineStr">
        <is>
          <t>991003799399702656</t>
        </is>
      </c>
      <c r="AX256" t="inlineStr">
        <is>
          <t>991003799399702656</t>
        </is>
      </c>
      <c r="AY256" t="inlineStr">
        <is>
          <t>2259340210002656</t>
        </is>
      </c>
      <c r="AZ256" t="inlineStr">
        <is>
          <t>BOOK</t>
        </is>
      </c>
      <c r="BC256" t="inlineStr">
        <is>
          <t>32285000654805</t>
        </is>
      </c>
      <c r="BD256" t="inlineStr">
        <is>
          <t>893904541</t>
        </is>
      </c>
    </row>
    <row r="257">
      <c r="A257" t="inlineStr">
        <is>
          <t>No</t>
        </is>
      </c>
      <c r="B257" t="inlineStr">
        <is>
          <t>PG3456.A13 L55 1973</t>
        </is>
      </c>
      <c r="C257" t="inlineStr">
        <is>
          <t>0                      PG 3456000A  13                 L  55          1973</t>
        </is>
      </c>
      <c r="D257" t="inlineStr">
        <is>
          <t>Selected works in two volumes / Anton Chekhov ; [translated from the Russian by Ivy Litvinov].</t>
        </is>
      </c>
      <c r="E257" t="inlineStr">
        <is>
          <t>V.1</t>
        </is>
      </c>
      <c r="F257" t="inlineStr">
        <is>
          <t>Yes</t>
        </is>
      </c>
      <c r="G257" t="inlineStr">
        <is>
          <t>1</t>
        </is>
      </c>
      <c r="H257" t="inlineStr">
        <is>
          <t>No</t>
        </is>
      </c>
      <c r="I257" t="inlineStr">
        <is>
          <t>No</t>
        </is>
      </c>
      <c r="J257" t="inlineStr">
        <is>
          <t>0</t>
        </is>
      </c>
      <c r="K257" t="inlineStr">
        <is>
          <t>Chekhov, Anton Pavlovich, 1860-1904.</t>
        </is>
      </c>
      <c r="L257" t="inlineStr">
        <is>
          <t>Moscow : Progress Publishers, 1973.</t>
        </is>
      </c>
      <c r="M257" t="inlineStr">
        <is>
          <t>1973</t>
        </is>
      </c>
      <c r="O257" t="inlineStr">
        <is>
          <t>eng</t>
        </is>
      </c>
      <c r="P257" t="inlineStr">
        <is>
          <t>rur</t>
        </is>
      </c>
      <c r="Q257" t="inlineStr">
        <is>
          <t>Russian classics series</t>
        </is>
      </c>
      <c r="R257" t="inlineStr">
        <is>
          <t xml:space="preserve">PG </t>
        </is>
      </c>
      <c r="S257" t="n">
        <v>12</v>
      </c>
      <c r="T257" t="n">
        <v>21</v>
      </c>
      <c r="U257" t="inlineStr">
        <is>
          <t>2000-12-14</t>
        </is>
      </c>
      <c r="V257" t="inlineStr">
        <is>
          <t>2005-04-23</t>
        </is>
      </c>
      <c r="W257" t="inlineStr">
        <is>
          <t>1991-12-06</t>
        </is>
      </c>
      <c r="X257" t="inlineStr">
        <is>
          <t>1991-12-06</t>
        </is>
      </c>
      <c r="Y257" t="n">
        <v>148</v>
      </c>
      <c r="Z257" t="n">
        <v>124</v>
      </c>
      <c r="AA257" t="n">
        <v>137</v>
      </c>
      <c r="AB257" t="n">
        <v>2</v>
      </c>
      <c r="AC257" t="n">
        <v>2</v>
      </c>
      <c r="AD257" t="n">
        <v>3</v>
      </c>
      <c r="AE257" t="n">
        <v>3</v>
      </c>
      <c r="AF257" t="n">
        <v>0</v>
      </c>
      <c r="AG257" t="n">
        <v>0</v>
      </c>
      <c r="AH257" t="n">
        <v>0</v>
      </c>
      <c r="AI257" t="n">
        <v>0</v>
      </c>
      <c r="AJ257" t="n">
        <v>2</v>
      </c>
      <c r="AK257" t="n">
        <v>2</v>
      </c>
      <c r="AL257" t="n">
        <v>1</v>
      </c>
      <c r="AM257" t="n">
        <v>1</v>
      </c>
      <c r="AN257" t="n">
        <v>0</v>
      </c>
      <c r="AO257" t="n">
        <v>0</v>
      </c>
      <c r="AP257" t="inlineStr">
        <is>
          <t>No</t>
        </is>
      </c>
      <c r="AQ257" t="inlineStr">
        <is>
          <t>Yes</t>
        </is>
      </c>
      <c r="AR257">
        <f>HYPERLINK("http://catalog.hathitrust.org/Record/000718282","HathiTrust Record")</f>
        <v/>
      </c>
      <c r="AS257">
        <f>HYPERLINK("https://creighton-primo.hosted.exlibrisgroup.com/primo-explore/search?tab=default_tab&amp;search_scope=EVERYTHING&amp;vid=01CRU&amp;lang=en_US&amp;offset=0&amp;query=any,contains,991003799399702656","Catalog Record")</f>
        <v/>
      </c>
      <c r="AT257">
        <f>HYPERLINK("http://www.worldcat.org/oclc/1525524","WorldCat Record")</f>
        <v/>
      </c>
      <c r="AU257" t="inlineStr">
        <is>
          <t>197875007:eng</t>
        </is>
      </c>
      <c r="AV257" t="inlineStr">
        <is>
          <t>1525524</t>
        </is>
      </c>
      <c r="AW257" t="inlineStr">
        <is>
          <t>991003799399702656</t>
        </is>
      </c>
      <c r="AX257" t="inlineStr">
        <is>
          <t>991003799399702656</t>
        </is>
      </c>
      <c r="AY257" t="inlineStr">
        <is>
          <t>2259340210002656</t>
        </is>
      </c>
      <c r="AZ257" t="inlineStr">
        <is>
          <t>BOOK</t>
        </is>
      </c>
      <c r="BC257" t="inlineStr">
        <is>
          <t>32285000654797</t>
        </is>
      </c>
      <c r="BD257" t="inlineStr">
        <is>
          <t>893900390</t>
        </is>
      </c>
    </row>
    <row r="258">
      <c r="A258" t="inlineStr">
        <is>
          <t>No</t>
        </is>
      </c>
      <c r="B258" t="inlineStr">
        <is>
          <t>PG3456.A13 M55</t>
        </is>
      </c>
      <c r="C258" t="inlineStr">
        <is>
          <t>0                      PG 3456000A  13                 M  55</t>
        </is>
      </c>
      <c r="D258" t="inlineStr">
        <is>
          <t>Chekhov : the early stories 1883-88 / chosen and translated by Patrick Miles &amp; Harvey Pitcher.</t>
        </is>
      </c>
      <c r="F258" t="inlineStr">
        <is>
          <t>No</t>
        </is>
      </c>
      <c r="G258" t="inlineStr">
        <is>
          <t>1</t>
        </is>
      </c>
      <c r="H258" t="inlineStr">
        <is>
          <t>No</t>
        </is>
      </c>
      <c r="I258" t="inlineStr">
        <is>
          <t>Yes</t>
        </is>
      </c>
      <c r="J258" t="inlineStr">
        <is>
          <t>0</t>
        </is>
      </c>
      <c r="K258" t="inlineStr">
        <is>
          <t>Chekhov, Anton Pavlovich, 1860-1904.</t>
        </is>
      </c>
      <c r="L258" t="inlineStr">
        <is>
          <t>London : John Murray, 1982.</t>
        </is>
      </c>
      <c r="M258" t="inlineStr">
        <is>
          <t>1982</t>
        </is>
      </c>
      <c r="O258" t="inlineStr">
        <is>
          <t>eng</t>
        </is>
      </c>
      <c r="P258" t="inlineStr">
        <is>
          <t>enk</t>
        </is>
      </c>
      <c r="R258" t="inlineStr">
        <is>
          <t xml:space="preserve">PG </t>
        </is>
      </c>
      <c r="S258" t="n">
        <v>5</v>
      </c>
      <c r="T258" t="n">
        <v>5</v>
      </c>
      <c r="U258" t="inlineStr">
        <is>
          <t>1997-05-23</t>
        </is>
      </c>
      <c r="V258" t="inlineStr">
        <is>
          <t>1997-05-23</t>
        </is>
      </c>
      <c r="W258" t="inlineStr">
        <is>
          <t>1990-02-02</t>
        </is>
      </c>
      <c r="X258" t="inlineStr">
        <is>
          <t>1990-02-02</t>
        </is>
      </c>
      <c r="Y258" t="n">
        <v>176</v>
      </c>
      <c r="Z258" t="n">
        <v>71</v>
      </c>
      <c r="AA258" t="n">
        <v>4456</v>
      </c>
      <c r="AB258" t="n">
        <v>2</v>
      </c>
      <c r="AC258" t="n">
        <v>37</v>
      </c>
      <c r="AD258" t="n">
        <v>2</v>
      </c>
      <c r="AE258" t="n">
        <v>74</v>
      </c>
      <c r="AF258" t="n">
        <v>0</v>
      </c>
      <c r="AG258" t="n">
        <v>29</v>
      </c>
      <c r="AH258" t="n">
        <v>1</v>
      </c>
      <c r="AI258" t="n">
        <v>11</v>
      </c>
      <c r="AJ258" t="n">
        <v>1</v>
      </c>
      <c r="AK258" t="n">
        <v>29</v>
      </c>
      <c r="AL258" t="n">
        <v>1</v>
      </c>
      <c r="AM258" t="n">
        <v>17</v>
      </c>
      <c r="AN258" t="n">
        <v>0</v>
      </c>
      <c r="AO258" t="n">
        <v>2</v>
      </c>
      <c r="AP258" t="inlineStr">
        <is>
          <t>No</t>
        </is>
      </c>
      <c r="AQ258" t="inlineStr">
        <is>
          <t>Yes</t>
        </is>
      </c>
      <c r="AR258">
        <f>HYPERLINK("http://catalog.hathitrust.org/Record/000765564","HathiTrust Record")</f>
        <v/>
      </c>
      <c r="AS258">
        <f>HYPERLINK("https://creighton-primo.hosted.exlibrisgroup.com/primo-explore/search?tab=default_tab&amp;search_scope=EVERYTHING&amp;vid=01CRU&amp;lang=en_US&amp;offset=0&amp;query=any,contains,991000088299702656","Catalog Record")</f>
        <v/>
      </c>
      <c r="AT258">
        <f>HYPERLINK("http://www.worldcat.org/oclc/9081311","WorldCat Record")</f>
        <v/>
      </c>
      <c r="AU258" t="inlineStr">
        <is>
          <t>4494917515:eng</t>
        </is>
      </c>
      <c r="AV258" t="inlineStr">
        <is>
          <t>9081311</t>
        </is>
      </c>
      <c r="AW258" t="inlineStr">
        <is>
          <t>991000088299702656</t>
        </is>
      </c>
      <c r="AX258" t="inlineStr">
        <is>
          <t>991000088299702656</t>
        </is>
      </c>
      <c r="AY258" t="inlineStr">
        <is>
          <t>2268817160002656</t>
        </is>
      </c>
      <c r="AZ258" t="inlineStr">
        <is>
          <t>BOOK</t>
        </is>
      </c>
      <c r="BB258" t="inlineStr">
        <is>
          <t>9780719539367</t>
        </is>
      </c>
      <c r="BC258" t="inlineStr">
        <is>
          <t>32285000038249</t>
        </is>
      </c>
      <c r="BD258" t="inlineStr">
        <is>
          <t>893413064</t>
        </is>
      </c>
    </row>
    <row r="259">
      <c r="A259" t="inlineStr">
        <is>
          <t>No</t>
        </is>
      </c>
      <c r="B259" t="inlineStr">
        <is>
          <t>PG3456.A13 W54 1985</t>
        </is>
      </c>
      <c r="C259" t="inlineStr">
        <is>
          <t>0                      PG 3456000A  13                 W  54          1985</t>
        </is>
      </c>
      <c r="D259" t="inlineStr">
        <is>
          <t>The party and other stories / Chekhov ; translated with an introduction by Ronald Wilks.</t>
        </is>
      </c>
      <c r="F259" t="inlineStr">
        <is>
          <t>No</t>
        </is>
      </c>
      <c r="G259" t="inlineStr">
        <is>
          <t>1</t>
        </is>
      </c>
      <c r="H259" t="inlineStr">
        <is>
          <t>No</t>
        </is>
      </c>
      <c r="I259" t="inlineStr">
        <is>
          <t>Yes</t>
        </is>
      </c>
      <c r="J259" t="inlineStr">
        <is>
          <t>0</t>
        </is>
      </c>
      <c r="K259" t="inlineStr">
        <is>
          <t>Chekhov, Anton Pavlovich, 1860-1904.</t>
        </is>
      </c>
      <c r="L259" t="inlineStr">
        <is>
          <t>Harmondsworth, Middlesex, England : Penguin Books, 1985.</t>
        </is>
      </c>
      <c r="M259" t="inlineStr">
        <is>
          <t>1985</t>
        </is>
      </c>
      <c r="O259" t="inlineStr">
        <is>
          <t>eng</t>
        </is>
      </c>
      <c r="P259" t="inlineStr">
        <is>
          <t>enk</t>
        </is>
      </c>
      <c r="Q259" t="inlineStr">
        <is>
          <t>Penguin classics</t>
        </is>
      </c>
      <c r="R259" t="inlineStr">
        <is>
          <t xml:space="preserve">PG </t>
        </is>
      </c>
      <c r="S259" t="n">
        <v>4</v>
      </c>
      <c r="T259" t="n">
        <v>4</v>
      </c>
      <c r="U259" t="inlineStr">
        <is>
          <t>2002-11-21</t>
        </is>
      </c>
      <c r="V259" t="inlineStr">
        <is>
          <t>2002-11-21</t>
        </is>
      </c>
      <c r="W259" t="inlineStr">
        <is>
          <t>1990-02-19</t>
        </is>
      </c>
      <c r="X259" t="inlineStr">
        <is>
          <t>1990-02-19</t>
        </is>
      </c>
      <c r="Y259" t="n">
        <v>224</v>
      </c>
      <c r="Z259" t="n">
        <v>138</v>
      </c>
      <c r="AA259" t="n">
        <v>4456</v>
      </c>
      <c r="AB259" t="n">
        <v>4</v>
      </c>
      <c r="AC259" t="n">
        <v>37</v>
      </c>
      <c r="AD259" t="n">
        <v>5</v>
      </c>
      <c r="AE259" t="n">
        <v>74</v>
      </c>
      <c r="AF259" t="n">
        <v>0</v>
      </c>
      <c r="AG259" t="n">
        <v>29</v>
      </c>
      <c r="AH259" t="n">
        <v>0</v>
      </c>
      <c r="AI259" t="n">
        <v>11</v>
      </c>
      <c r="AJ259" t="n">
        <v>2</v>
      </c>
      <c r="AK259" t="n">
        <v>29</v>
      </c>
      <c r="AL259" t="n">
        <v>3</v>
      </c>
      <c r="AM259" t="n">
        <v>17</v>
      </c>
      <c r="AN259" t="n">
        <v>0</v>
      </c>
      <c r="AO259" t="n">
        <v>2</v>
      </c>
      <c r="AP259" t="inlineStr">
        <is>
          <t>No</t>
        </is>
      </c>
      <c r="AQ259" t="inlineStr">
        <is>
          <t>Yes</t>
        </is>
      </c>
      <c r="AR259">
        <f>HYPERLINK("http://catalog.hathitrust.org/Record/007103806","HathiTrust Record")</f>
        <v/>
      </c>
      <c r="AS259">
        <f>HYPERLINK("https://creighton-primo.hosted.exlibrisgroup.com/primo-explore/search?tab=default_tab&amp;search_scope=EVERYTHING&amp;vid=01CRU&amp;lang=en_US&amp;offset=0&amp;query=any,contains,991000776359702656","Catalog Record")</f>
        <v/>
      </c>
      <c r="AT259">
        <f>HYPERLINK("http://www.worldcat.org/oclc/13762313","WorldCat Record")</f>
        <v/>
      </c>
      <c r="AU259" t="inlineStr">
        <is>
          <t>4494917515:eng</t>
        </is>
      </c>
      <c r="AV259" t="inlineStr">
        <is>
          <t>13762313</t>
        </is>
      </c>
      <c r="AW259" t="inlineStr">
        <is>
          <t>991000776359702656</t>
        </is>
      </c>
      <c r="AX259" t="inlineStr">
        <is>
          <t>991000776359702656</t>
        </is>
      </c>
      <c r="AY259" t="inlineStr">
        <is>
          <t>2258962990002656</t>
        </is>
      </c>
      <c r="AZ259" t="inlineStr">
        <is>
          <t>BOOK</t>
        </is>
      </c>
      <c r="BB259" t="inlineStr">
        <is>
          <t>9780140444520</t>
        </is>
      </c>
      <c r="BC259" t="inlineStr">
        <is>
          <t>32285000054949</t>
        </is>
      </c>
      <c r="BD259" t="inlineStr">
        <is>
          <t>893595870</t>
        </is>
      </c>
    </row>
    <row r="260">
      <c r="A260" t="inlineStr">
        <is>
          <t>No</t>
        </is>
      </c>
      <c r="B260" t="inlineStr">
        <is>
          <t>PG3456.A15 G3 1984 v. 12</t>
        </is>
      </c>
      <c r="C260" t="inlineStr">
        <is>
          <t>0                      PG 3456000A  15                 G  3           1984                  v. 12</t>
        </is>
      </c>
      <c r="D260" t="inlineStr">
        <is>
          <t>The cook's wedding and other stories / by Anton Chekhov ; translated by Constance Garnett.</t>
        </is>
      </c>
      <c r="E260" t="inlineStr">
        <is>
          <t>V. 12</t>
        </is>
      </c>
      <c r="F260" t="inlineStr">
        <is>
          <t>No</t>
        </is>
      </c>
      <c r="G260" t="inlineStr">
        <is>
          <t>1</t>
        </is>
      </c>
      <c r="H260" t="inlineStr">
        <is>
          <t>No</t>
        </is>
      </c>
      <c r="I260" t="inlineStr">
        <is>
          <t>Yes</t>
        </is>
      </c>
      <c r="J260" t="inlineStr">
        <is>
          <t>0</t>
        </is>
      </c>
      <c r="K260" t="inlineStr">
        <is>
          <t>Chekhov, Anton Pavlovich, 1860-1904.</t>
        </is>
      </c>
      <c r="L260" t="inlineStr">
        <is>
          <t>New York : Ecco Press : Distributed by W.W. Norton, 1986, c1972.</t>
        </is>
      </c>
      <c r="M260" t="inlineStr">
        <is>
          <t>1986</t>
        </is>
      </c>
      <c r="O260" t="inlineStr">
        <is>
          <t>eng</t>
        </is>
      </c>
      <c r="P260" t="inlineStr">
        <is>
          <t>nyu</t>
        </is>
      </c>
      <c r="Q260" t="inlineStr">
        <is>
          <t>The tales of Chekhov ; v. 12</t>
        </is>
      </c>
      <c r="R260" t="inlineStr">
        <is>
          <t xml:space="preserve">PG </t>
        </is>
      </c>
      <c r="S260" t="n">
        <v>1</v>
      </c>
      <c r="T260" t="n">
        <v>1</v>
      </c>
      <c r="U260" t="inlineStr">
        <is>
          <t>2009-04-23</t>
        </is>
      </c>
      <c r="V260" t="inlineStr">
        <is>
          <t>2009-04-23</t>
        </is>
      </c>
      <c r="W260" t="inlineStr">
        <is>
          <t>2009-04-23</t>
        </is>
      </c>
      <c r="X260" t="inlineStr">
        <is>
          <t>2009-04-23</t>
        </is>
      </c>
      <c r="Y260" t="n">
        <v>153</v>
      </c>
      <c r="Z260" t="n">
        <v>135</v>
      </c>
      <c r="AA260" t="n">
        <v>4456</v>
      </c>
      <c r="AB260" t="n">
        <v>2</v>
      </c>
      <c r="AC260" t="n">
        <v>37</v>
      </c>
      <c r="AD260" t="n">
        <v>9</v>
      </c>
      <c r="AE260" t="n">
        <v>74</v>
      </c>
      <c r="AF260" t="n">
        <v>2</v>
      </c>
      <c r="AG260" t="n">
        <v>29</v>
      </c>
      <c r="AH260" t="n">
        <v>2</v>
      </c>
      <c r="AI260" t="n">
        <v>11</v>
      </c>
      <c r="AJ260" t="n">
        <v>6</v>
      </c>
      <c r="AK260" t="n">
        <v>29</v>
      </c>
      <c r="AL260" t="n">
        <v>1</v>
      </c>
      <c r="AM260" t="n">
        <v>17</v>
      </c>
      <c r="AN260" t="n">
        <v>0</v>
      </c>
      <c r="AO260" t="n">
        <v>2</v>
      </c>
      <c r="AP260" t="inlineStr">
        <is>
          <t>No</t>
        </is>
      </c>
      <c r="AQ260" t="inlineStr">
        <is>
          <t>Yes</t>
        </is>
      </c>
      <c r="AR260">
        <f>HYPERLINK("http://catalog.hathitrust.org/Record/008324521","HathiTrust Record")</f>
        <v/>
      </c>
      <c r="AS260">
        <f>HYPERLINK("https://creighton-primo.hosted.exlibrisgroup.com/primo-explore/search?tab=default_tab&amp;search_scope=EVERYTHING&amp;vid=01CRU&amp;lang=en_US&amp;offset=0&amp;query=any,contains,991005312879702656","Catalog Record")</f>
        <v/>
      </c>
      <c r="AT260">
        <f>HYPERLINK("http://www.worldcat.org/oclc/13270648","WorldCat Record")</f>
        <v/>
      </c>
      <c r="AU260" t="inlineStr">
        <is>
          <t>4494917515:eng</t>
        </is>
      </c>
      <c r="AV260" t="inlineStr">
        <is>
          <t>13270648</t>
        </is>
      </c>
      <c r="AW260" t="inlineStr">
        <is>
          <t>991005312879702656</t>
        </is>
      </c>
      <c r="AX260" t="inlineStr">
        <is>
          <t>991005312879702656</t>
        </is>
      </c>
      <c r="AY260" t="inlineStr">
        <is>
          <t>2271835070002656</t>
        </is>
      </c>
      <c r="AZ260" t="inlineStr">
        <is>
          <t>BOOK</t>
        </is>
      </c>
      <c r="BB260" t="inlineStr">
        <is>
          <t>9780880010597</t>
        </is>
      </c>
      <c r="BC260" t="inlineStr">
        <is>
          <t>32285005518344</t>
        </is>
      </c>
      <c r="BD260" t="inlineStr">
        <is>
          <t>893600975</t>
        </is>
      </c>
    </row>
    <row r="261">
      <c r="A261" t="inlineStr">
        <is>
          <t>No</t>
        </is>
      </c>
      <c r="B261" t="inlineStr">
        <is>
          <t>PG3456.A15 G3 1984 v. 3</t>
        </is>
      </c>
      <c r="C261" t="inlineStr">
        <is>
          <t>0                      PG 3456000A  15                 G  3           1984                  v. 3</t>
        </is>
      </c>
      <c r="D261" t="inlineStr">
        <is>
          <t>The lady with the dog and other stories / by Anton Chekhov ; translated by Constance Garnett.</t>
        </is>
      </c>
      <c r="E261" t="inlineStr">
        <is>
          <t>V. 3</t>
        </is>
      </c>
      <c r="F261" t="inlineStr">
        <is>
          <t>No</t>
        </is>
      </c>
      <c r="G261" t="inlineStr">
        <is>
          <t>1</t>
        </is>
      </c>
      <c r="H261" t="inlineStr">
        <is>
          <t>No</t>
        </is>
      </c>
      <c r="I261" t="inlineStr">
        <is>
          <t>Yes</t>
        </is>
      </c>
      <c r="J261" t="inlineStr">
        <is>
          <t>0</t>
        </is>
      </c>
      <c r="K261" t="inlineStr">
        <is>
          <t>Chekhov, Anton Pavlovich, 1860-1904.</t>
        </is>
      </c>
      <c r="L261" t="inlineStr">
        <is>
          <t>New York : Ecco Press : Distributed by Norton, 1984, c1917.</t>
        </is>
      </c>
      <c r="M261" t="inlineStr">
        <is>
          <t>1984</t>
        </is>
      </c>
      <c r="O261" t="inlineStr">
        <is>
          <t>eng</t>
        </is>
      </c>
      <c r="P261" t="inlineStr">
        <is>
          <t>nyu</t>
        </is>
      </c>
      <c r="Q261" t="inlineStr">
        <is>
          <t>The Tales of Chekhov ; v. 3</t>
        </is>
      </c>
      <c r="R261" t="inlineStr">
        <is>
          <t xml:space="preserve">PG </t>
        </is>
      </c>
      <c r="S261" t="n">
        <v>2</v>
      </c>
      <c r="T261" t="n">
        <v>2</v>
      </c>
      <c r="U261" t="inlineStr">
        <is>
          <t>2010-07-08</t>
        </is>
      </c>
      <c r="V261" t="inlineStr">
        <is>
          <t>2010-07-08</t>
        </is>
      </c>
      <c r="W261" t="inlineStr">
        <is>
          <t>2009-04-23</t>
        </is>
      </c>
      <c r="X261" t="inlineStr">
        <is>
          <t>2009-04-23</t>
        </is>
      </c>
      <c r="Y261" t="n">
        <v>177</v>
      </c>
      <c r="Z261" t="n">
        <v>160</v>
      </c>
      <c r="AA261" t="n">
        <v>4456</v>
      </c>
      <c r="AB261" t="n">
        <v>2</v>
      </c>
      <c r="AC261" t="n">
        <v>37</v>
      </c>
      <c r="AD261" t="n">
        <v>10</v>
      </c>
      <c r="AE261" t="n">
        <v>74</v>
      </c>
      <c r="AF261" t="n">
        <v>3</v>
      </c>
      <c r="AG261" t="n">
        <v>29</v>
      </c>
      <c r="AH261" t="n">
        <v>3</v>
      </c>
      <c r="AI261" t="n">
        <v>11</v>
      </c>
      <c r="AJ261" t="n">
        <v>4</v>
      </c>
      <c r="AK261" t="n">
        <v>29</v>
      </c>
      <c r="AL261" t="n">
        <v>1</v>
      </c>
      <c r="AM261" t="n">
        <v>17</v>
      </c>
      <c r="AN261" t="n">
        <v>0</v>
      </c>
      <c r="AO261" t="n">
        <v>2</v>
      </c>
      <c r="AP261" t="inlineStr">
        <is>
          <t>No</t>
        </is>
      </c>
      <c r="AQ261" t="inlineStr">
        <is>
          <t>Yes</t>
        </is>
      </c>
      <c r="AR261">
        <f>HYPERLINK("http://catalog.hathitrust.org/Record/008324513","HathiTrust Record")</f>
        <v/>
      </c>
      <c r="AS261">
        <f>HYPERLINK("https://creighton-primo.hosted.exlibrisgroup.com/primo-explore/search?tab=default_tab&amp;search_scope=EVERYTHING&amp;vid=01CRU&amp;lang=en_US&amp;offset=0&amp;query=any,contains,991005312809702656","Catalog Record")</f>
        <v/>
      </c>
      <c r="AT261">
        <f>HYPERLINK("http://www.worldcat.org/oclc/10697314","WorldCat Record")</f>
        <v/>
      </c>
      <c r="AU261" t="inlineStr">
        <is>
          <t>4494917515:eng</t>
        </is>
      </c>
      <c r="AV261" t="inlineStr">
        <is>
          <t>10697314</t>
        </is>
      </c>
      <c r="AW261" t="inlineStr">
        <is>
          <t>991005312809702656</t>
        </is>
      </c>
      <c r="AX261" t="inlineStr">
        <is>
          <t>991005312809702656</t>
        </is>
      </c>
      <c r="AY261" t="inlineStr">
        <is>
          <t>2270596120002656</t>
        </is>
      </c>
      <c r="AZ261" t="inlineStr">
        <is>
          <t>BOOK</t>
        </is>
      </c>
      <c r="BB261" t="inlineStr">
        <is>
          <t>9780880010504</t>
        </is>
      </c>
      <c r="BC261" t="inlineStr">
        <is>
          <t>32285005518278</t>
        </is>
      </c>
      <c r="BD261" t="inlineStr">
        <is>
          <t>893242533</t>
        </is>
      </c>
    </row>
    <row r="262">
      <c r="A262" t="inlineStr">
        <is>
          <t>No</t>
        </is>
      </c>
      <c r="B262" t="inlineStr">
        <is>
          <t>PG3456.A15 G3 1984 v. 5</t>
        </is>
      </c>
      <c r="C262" t="inlineStr">
        <is>
          <t>0                      PG 3456000A  15                 G  3           1984                  v. 5</t>
        </is>
      </c>
      <c r="D262" t="inlineStr">
        <is>
          <t>The wife and other stories / by Anton Chekhov ; translated by Constance Garnett.</t>
        </is>
      </c>
      <c r="E262" t="inlineStr">
        <is>
          <t>V. 5</t>
        </is>
      </c>
      <c r="F262" t="inlineStr">
        <is>
          <t>No</t>
        </is>
      </c>
      <c r="G262" t="inlineStr">
        <is>
          <t>1</t>
        </is>
      </c>
      <c r="H262" t="inlineStr">
        <is>
          <t>No</t>
        </is>
      </c>
      <c r="I262" t="inlineStr">
        <is>
          <t>Yes</t>
        </is>
      </c>
      <c r="J262" t="inlineStr">
        <is>
          <t>0</t>
        </is>
      </c>
      <c r="K262" t="inlineStr">
        <is>
          <t>Chekhov, Anton Pavlovich, 1860-1904.</t>
        </is>
      </c>
      <c r="L262" t="inlineStr">
        <is>
          <t>New York : Ecco Press, 1985.</t>
        </is>
      </c>
      <c r="M262" t="inlineStr">
        <is>
          <t>1985</t>
        </is>
      </c>
      <c r="O262" t="inlineStr">
        <is>
          <t>eng</t>
        </is>
      </c>
      <c r="P262" t="inlineStr">
        <is>
          <t>nyu</t>
        </is>
      </c>
      <c r="Q262" t="inlineStr">
        <is>
          <t>The tales of Chekhov ; v. 5</t>
        </is>
      </c>
      <c r="R262" t="inlineStr">
        <is>
          <t xml:space="preserve">PG </t>
        </is>
      </c>
      <c r="S262" t="n">
        <v>1</v>
      </c>
      <c r="T262" t="n">
        <v>1</v>
      </c>
      <c r="U262" t="inlineStr">
        <is>
          <t>2009-04-23</t>
        </is>
      </c>
      <c r="V262" t="inlineStr">
        <is>
          <t>2009-04-23</t>
        </is>
      </c>
      <c r="W262" t="inlineStr">
        <is>
          <t>2009-04-23</t>
        </is>
      </c>
      <c r="X262" t="inlineStr">
        <is>
          <t>2009-04-23</t>
        </is>
      </c>
      <c r="Y262" t="n">
        <v>159</v>
      </c>
      <c r="Z262" t="n">
        <v>144</v>
      </c>
      <c r="AA262" t="n">
        <v>4456</v>
      </c>
      <c r="AB262" t="n">
        <v>2</v>
      </c>
      <c r="AC262" t="n">
        <v>37</v>
      </c>
      <c r="AD262" t="n">
        <v>7</v>
      </c>
      <c r="AE262" t="n">
        <v>74</v>
      </c>
      <c r="AF262" t="n">
        <v>2</v>
      </c>
      <c r="AG262" t="n">
        <v>29</v>
      </c>
      <c r="AH262" t="n">
        <v>2</v>
      </c>
      <c r="AI262" t="n">
        <v>11</v>
      </c>
      <c r="AJ262" t="n">
        <v>4</v>
      </c>
      <c r="AK262" t="n">
        <v>29</v>
      </c>
      <c r="AL262" t="n">
        <v>1</v>
      </c>
      <c r="AM262" t="n">
        <v>17</v>
      </c>
      <c r="AN262" t="n">
        <v>0</v>
      </c>
      <c r="AO262" t="n">
        <v>2</v>
      </c>
      <c r="AP262" t="inlineStr">
        <is>
          <t>No</t>
        </is>
      </c>
      <c r="AQ262" t="inlineStr">
        <is>
          <t>Yes</t>
        </is>
      </c>
      <c r="AR262">
        <f>HYPERLINK("http://catalog.hathitrust.org/Record/008324515","HathiTrust Record")</f>
        <v/>
      </c>
      <c r="AS262">
        <f>HYPERLINK("https://creighton-primo.hosted.exlibrisgroup.com/primo-explore/search?tab=default_tab&amp;search_scope=EVERYTHING&amp;vid=01CRU&amp;lang=en_US&amp;offset=0&amp;query=any,contains,991005312829702656","Catalog Record")</f>
        <v/>
      </c>
      <c r="AT262">
        <f>HYPERLINK("http://www.worldcat.org/oclc/10997682","WorldCat Record")</f>
        <v/>
      </c>
      <c r="AU262" t="inlineStr">
        <is>
          <t>4494917515:eng</t>
        </is>
      </c>
      <c r="AV262" t="inlineStr">
        <is>
          <t>10997682</t>
        </is>
      </c>
      <c r="AW262" t="inlineStr">
        <is>
          <t>991005312829702656</t>
        </is>
      </c>
      <c r="AX262" t="inlineStr">
        <is>
          <t>991005312829702656</t>
        </is>
      </c>
      <c r="AY262" t="inlineStr">
        <is>
          <t>2258349870002656</t>
        </is>
      </c>
      <c r="AZ262" t="inlineStr">
        <is>
          <t>BOOK</t>
        </is>
      </c>
      <c r="BB262" t="inlineStr">
        <is>
          <t>9780880010528</t>
        </is>
      </c>
      <c r="BC262" t="inlineStr">
        <is>
          <t>32285005518294</t>
        </is>
      </c>
      <c r="BD262" t="inlineStr">
        <is>
          <t>893412656</t>
        </is>
      </c>
    </row>
    <row r="263">
      <c r="A263" t="inlineStr">
        <is>
          <t>No</t>
        </is>
      </c>
      <c r="B263" t="inlineStr">
        <is>
          <t>PG3456.A15 G3 1984 v. 6</t>
        </is>
      </c>
      <c r="C263" t="inlineStr">
        <is>
          <t>0                      PG 3456000A  15                 G  3           1984                  v. 6</t>
        </is>
      </c>
      <c r="D263" t="inlineStr">
        <is>
          <t>The witch and other stories / by Anton Chekhov ; translated by Constance Garnett.</t>
        </is>
      </c>
      <c r="E263" t="inlineStr">
        <is>
          <t>V. 6</t>
        </is>
      </c>
      <c r="F263" t="inlineStr">
        <is>
          <t>No</t>
        </is>
      </c>
      <c r="G263" t="inlineStr">
        <is>
          <t>1</t>
        </is>
      </c>
      <c r="H263" t="inlineStr">
        <is>
          <t>No</t>
        </is>
      </c>
      <c r="I263" t="inlineStr">
        <is>
          <t>Yes</t>
        </is>
      </c>
      <c r="J263" t="inlineStr">
        <is>
          <t>0</t>
        </is>
      </c>
      <c r="K263" t="inlineStr">
        <is>
          <t>Chekhov, Anton Pavlovich, 1860-1904.</t>
        </is>
      </c>
      <c r="L263" t="inlineStr">
        <is>
          <t>New York : Ecco Press, 1985.</t>
        </is>
      </c>
      <c r="M263" t="inlineStr">
        <is>
          <t>1985</t>
        </is>
      </c>
      <c r="O263" t="inlineStr">
        <is>
          <t>eng</t>
        </is>
      </c>
      <c r="P263" t="inlineStr">
        <is>
          <t>nyu</t>
        </is>
      </c>
      <c r="Q263" t="inlineStr">
        <is>
          <t>The tales of Chekhov ; v. 6</t>
        </is>
      </c>
      <c r="R263" t="inlineStr">
        <is>
          <t xml:space="preserve">PG </t>
        </is>
      </c>
      <c r="S263" t="n">
        <v>1</v>
      </c>
      <c r="T263" t="n">
        <v>1</v>
      </c>
      <c r="U263" t="inlineStr">
        <is>
          <t>2009-04-23</t>
        </is>
      </c>
      <c r="V263" t="inlineStr">
        <is>
          <t>2009-04-23</t>
        </is>
      </c>
      <c r="W263" t="inlineStr">
        <is>
          <t>2009-04-23</t>
        </is>
      </c>
      <c r="X263" t="inlineStr">
        <is>
          <t>2009-04-23</t>
        </is>
      </c>
      <c r="Y263" t="n">
        <v>154</v>
      </c>
      <c r="Z263" t="n">
        <v>142</v>
      </c>
      <c r="AA263" t="n">
        <v>4456</v>
      </c>
      <c r="AB263" t="n">
        <v>2</v>
      </c>
      <c r="AC263" t="n">
        <v>37</v>
      </c>
      <c r="AD263" t="n">
        <v>6</v>
      </c>
      <c r="AE263" t="n">
        <v>74</v>
      </c>
      <c r="AF263" t="n">
        <v>2</v>
      </c>
      <c r="AG263" t="n">
        <v>29</v>
      </c>
      <c r="AH263" t="n">
        <v>2</v>
      </c>
      <c r="AI263" t="n">
        <v>11</v>
      </c>
      <c r="AJ263" t="n">
        <v>3</v>
      </c>
      <c r="AK263" t="n">
        <v>29</v>
      </c>
      <c r="AL263" t="n">
        <v>1</v>
      </c>
      <c r="AM263" t="n">
        <v>17</v>
      </c>
      <c r="AN263" t="n">
        <v>0</v>
      </c>
      <c r="AO263" t="n">
        <v>2</v>
      </c>
      <c r="AP263" t="inlineStr">
        <is>
          <t>No</t>
        </is>
      </c>
      <c r="AQ263" t="inlineStr">
        <is>
          <t>Yes</t>
        </is>
      </c>
      <c r="AR263">
        <f>HYPERLINK("http://catalog.hathitrust.org/Record/008324516","HathiTrust Record")</f>
        <v/>
      </c>
      <c r="AS263">
        <f>HYPERLINK("https://creighton-primo.hosted.exlibrisgroup.com/primo-explore/search?tab=default_tab&amp;search_scope=EVERYTHING&amp;vid=01CRU&amp;lang=en_US&amp;offset=0&amp;query=any,contains,991005312839702656","Catalog Record")</f>
        <v/>
      </c>
      <c r="AT263">
        <f>HYPERLINK("http://www.worldcat.org/oclc/10997333","WorldCat Record")</f>
        <v/>
      </c>
      <c r="AU263" t="inlineStr">
        <is>
          <t>4494917515:eng</t>
        </is>
      </c>
      <c r="AV263" t="inlineStr">
        <is>
          <t>10997333</t>
        </is>
      </c>
      <c r="AW263" t="inlineStr">
        <is>
          <t>991005312839702656</t>
        </is>
      </c>
      <c r="AX263" t="inlineStr">
        <is>
          <t>991005312839702656</t>
        </is>
      </c>
      <c r="AY263" t="inlineStr">
        <is>
          <t>2258256780002656</t>
        </is>
      </c>
      <c r="AZ263" t="inlineStr">
        <is>
          <t>BOOK</t>
        </is>
      </c>
      <c r="BB263" t="inlineStr">
        <is>
          <t>9780880010535</t>
        </is>
      </c>
      <c r="BC263" t="inlineStr">
        <is>
          <t>32285005518302</t>
        </is>
      </c>
      <c r="BD263" t="inlineStr">
        <is>
          <t>893345013</t>
        </is>
      </c>
    </row>
    <row r="264">
      <c r="A264" t="inlineStr">
        <is>
          <t>No</t>
        </is>
      </c>
      <c r="B264" t="inlineStr">
        <is>
          <t>PG3456.A15 G3 1984 v. 7</t>
        </is>
      </c>
      <c r="C264" t="inlineStr">
        <is>
          <t>0                      PG 3456000A  15                 G  3           1984                  v. 7</t>
        </is>
      </c>
      <c r="D264" t="inlineStr">
        <is>
          <t>The bishop and other stories / by Anton Chekhov ; translated by Constance Garnett.</t>
        </is>
      </c>
      <c r="E264" t="inlineStr">
        <is>
          <t>V. 7</t>
        </is>
      </c>
      <c r="F264" t="inlineStr">
        <is>
          <t>No</t>
        </is>
      </c>
      <c r="G264" t="inlineStr">
        <is>
          <t>1</t>
        </is>
      </c>
      <c r="H264" t="inlineStr">
        <is>
          <t>No</t>
        </is>
      </c>
      <c r="I264" t="inlineStr">
        <is>
          <t>Yes</t>
        </is>
      </c>
      <c r="J264" t="inlineStr">
        <is>
          <t>0</t>
        </is>
      </c>
      <c r="K264" t="inlineStr">
        <is>
          <t>Chekhov, Anton Pavlovich, 1860-1904.</t>
        </is>
      </c>
      <c r="L264" t="inlineStr">
        <is>
          <t>New York : Ecco Press, 1985, c1972.</t>
        </is>
      </c>
      <c r="M264" t="inlineStr">
        <is>
          <t>1985</t>
        </is>
      </c>
      <c r="O264" t="inlineStr">
        <is>
          <t>eng</t>
        </is>
      </c>
      <c r="P264" t="inlineStr">
        <is>
          <t>nyu</t>
        </is>
      </c>
      <c r="Q264" t="inlineStr">
        <is>
          <t>The Tales of Chekhov ; v. 7</t>
        </is>
      </c>
      <c r="R264" t="inlineStr">
        <is>
          <t xml:space="preserve">PG </t>
        </is>
      </c>
      <c r="S264" t="n">
        <v>2</v>
      </c>
      <c r="T264" t="n">
        <v>2</v>
      </c>
      <c r="U264" t="inlineStr">
        <is>
          <t>2010-06-03</t>
        </is>
      </c>
      <c r="V264" t="inlineStr">
        <is>
          <t>2010-06-03</t>
        </is>
      </c>
      <c r="W264" t="inlineStr">
        <is>
          <t>2009-04-23</t>
        </is>
      </c>
      <c r="X264" t="inlineStr">
        <is>
          <t>2009-04-23</t>
        </is>
      </c>
      <c r="Y264" t="n">
        <v>162</v>
      </c>
      <c r="Z264" t="n">
        <v>145</v>
      </c>
      <c r="AA264" t="n">
        <v>4456</v>
      </c>
      <c r="AB264" t="n">
        <v>2</v>
      </c>
      <c r="AC264" t="n">
        <v>37</v>
      </c>
      <c r="AD264" t="n">
        <v>7</v>
      </c>
      <c r="AE264" t="n">
        <v>74</v>
      </c>
      <c r="AF264" t="n">
        <v>2</v>
      </c>
      <c r="AG264" t="n">
        <v>29</v>
      </c>
      <c r="AH264" t="n">
        <v>2</v>
      </c>
      <c r="AI264" t="n">
        <v>11</v>
      </c>
      <c r="AJ264" t="n">
        <v>4</v>
      </c>
      <c r="AK264" t="n">
        <v>29</v>
      </c>
      <c r="AL264" t="n">
        <v>1</v>
      </c>
      <c r="AM264" t="n">
        <v>17</v>
      </c>
      <c r="AN264" t="n">
        <v>0</v>
      </c>
      <c r="AO264" t="n">
        <v>2</v>
      </c>
      <c r="AP264" t="inlineStr">
        <is>
          <t>No</t>
        </is>
      </c>
      <c r="AQ264" t="inlineStr">
        <is>
          <t>Yes</t>
        </is>
      </c>
      <c r="AR264">
        <f>HYPERLINK("http://catalog.hathitrust.org/Record/008324517","HathiTrust Record")</f>
        <v/>
      </c>
      <c r="AS264">
        <f>HYPERLINK("https://creighton-primo.hosted.exlibrisgroup.com/primo-explore/search?tab=default_tab&amp;search_scope=EVERYTHING&amp;vid=01CRU&amp;lang=en_US&amp;offset=0&amp;query=any,contains,991005312849702656","Catalog Record")</f>
        <v/>
      </c>
      <c r="AT264">
        <f>HYPERLINK("http://www.worldcat.org/oclc/12106196","WorldCat Record")</f>
        <v/>
      </c>
      <c r="AU264" t="inlineStr">
        <is>
          <t>4494917515:eng</t>
        </is>
      </c>
      <c r="AV264" t="inlineStr">
        <is>
          <t>12106196</t>
        </is>
      </c>
      <c r="AW264" t="inlineStr">
        <is>
          <t>991005312849702656</t>
        </is>
      </c>
      <c r="AX264" t="inlineStr">
        <is>
          <t>991005312849702656</t>
        </is>
      </c>
      <c r="AY264" t="inlineStr">
        <is>
          <t>2267766670002656</t>
        </is>
      </c>
      <c r="AZ264" t="inlineStr">
        <is>
          <t>BOOK</t>
        </is>
      </c>
      <c r="BB264" t="inlineStr">
        <is>
          <t>9780880010542</t>
        </is>
      </c>
      <c r="BC264" t="inlineStr">
        <is>
          <t>32285005518310</t>
        </is>
      </c>
      <c r="BD264" t="inlineStr">
        <is>
          <t>893713855</t>
        </is>
      </c>
    </row>
    <row r="265">
      <c r="A265" t="inlineStr">
        <is>
          <t>No</t>
        </is>
      </c>
      <c r="B265" t="inlineStr">
        <is>
          <t>PG3456.A15 G3 1984 v. 9</t>
        </is>
      </c>
      <c r="C265" t="inlineStr">
        <is>
          <t>0                      PG 3456000A  15                 G  3           1984                  v. 9</t>
        </is>
      </c>
      <c r="D265" t="inlineStr">
        <is>
          <t>The schoolmistress and other stories / by Anton Chekhov ; translated by Constance Garnett.</t>
        </is>
      </c>
      <c r="E265" t="inlineStr">
        <is>
          <t>V. 9</t>
        </is>
      </c>
      <c r="F265" t="inlineStr">
        <is>
          <t>No</t>
        </is>
      </c>
      <c r="G265" t="inlineStr">
        <is>
          <t>1</t>
        </is>
      </c>
      <c r="H265" t="inlineStr">
        <is>
          <t>No</t>
        </is>
      </c>
      <c r="I265" t="inlineStr">
        <is>
          <t>Yes</t>
        </is>
      </c>
      <c r="J265" t="inlineStr">
        <is>
          <t>0</t>
        </is>
      </c>
      <c r="K265" t="inlineStr">
        <is>
          <t>Chekhov, Anton Pavlovich, 1860-1904.</t>
        </is>
      </c>
      <c r="L265" t="inlineStr">
        <is>
          <t>New York : Ecco Press : Distributed by Norton, 1986, c1921.</t>
        </is>
      </c>
      <c r="M265" t="inlineStr">
        <is>
          <t>1986</t>
        </is>
      </c>
      <c r="O265" t="inlineStr">
        <is>
          <t>eng</t>
        </is>
      </c>
      <c r="P265" t="inlineStr">
        <is>
          <t>nyu</t>
        </is>
      </c>
      <c r="Q265" t="inlineStr">
        <is>
          <t>The Tales of Chekhov ; v. 9</t>
        </is>
      </c>
      <c r="R265" t="inlineStr">
        <is>
          <t xml:space="preserve">PG </t>
        </is>
      </c>
      <c r="S265" t="n">
        <v>1</v>
      </c>
      <c r="T265" t="n">
        <v>1</v>
      </c>
      <c r="U265" t="inlineStr">
        <is>
          <t>2009-04-23</t>
        </is>
      </c>
      <c r="V265" t="inlineStr">
        <is>
          <t>2009-04-23</t>
        </is>
      </c>
      <c r="W265" t="inlineStr">
        <is>
          <t>2009-04-23</t>
        </is>
      </c>
      <c r="X265" t="inlineStr">
        <is>
          <t>2009-04-23</t>
        </is>
      </c>
      <c r="Y265" t="n">
        <v>174</v>
      </c>
      <c r="Z265" t="n">
        <v>160</v>
      </c>
      <c r="AA265" t="n">
        <v>4456</v>
      </c>
      <c r="AB265" t="n">
        <v>1</v>
      </c>
      <c r="AC265" t="n">
        <v>37</v>
      </c>
      <c r="AD265" t="n">
        <v>8</v>
      </c>
      <c r="AE265" t="n">
        <v>74</v>
      </c>
      <c r="AF265" t="n">
        <v>2</v>
      </c>
      <c r="AG265" t="n">
        <v>29</v>
      </c>
      <c r="AH265" t="n">
        <v>3</v>
      </c>
      <c r="AI265" t="n">
        <v>11</v>
      </c>
      <c r="AJ265" t="n">
        <v>5</v>
      </c>
      <c r="AK265" t="n">
        <v>29</v>
      </c>
      <c r="AL265" t="n">
        <v>0</v>
      </c>
      <c r="AM265" t="n">
        <v>17</v>
      </c>
      <c r="AN265" t="n">
        <v>0</v>
      </c>
      <c r="AO265" t="n">
        <v>2</v>
      </c>
      <c r="AP265" t="inlineStr">
        <is>
          <t>No</t>
        </is>
      </c>
      <c r="AQ265" t="inlineStr">
        <is>
          <t>Yes</t>
        </is>
      </c>
      <c r="AR265">
        <f>HYPERLINK("http://catalog.hathitrust.org/Record/008324518","HathiTrust Record")</f>
        <v/>
      </c>
      <c r="AS265">
        <f>HYPERLINK("https://creighton-primo.hosted.exlibrisgroup.com/primo-explore/search?tab=default_tab&amp;search_scope=EVERYTHING&amp;vid=01CRU&amp;lang=en_US&amp;offset=0&amp;query=any,contains,991005312859702656","Catalog Record")</f>
        <v/>
      </c>
      <c r="AT265">
        <f>HYPERLINK("http://www.worldcat.org/oclc/12419748","WorldCat Record")</f>
        <v/>
      </c>
      <c r="AU265" t="inlineStr">
        <is>
          <t>4494917515:eng</t>
        </is>
      </c>
      <c r="AV265" t="inlineStr">
        <is>
          <t>12419748</t>
        </is>
      </c>
      <c r="AW265" t="inlineStr">
        <is>
          <t>991005312859702656</t>
        </is>
      </c>
      <c r="AX265" t="inlineStr">
        <is>
          <t>991005312859702656</t>
        </is>
      </c>
      <c r="AY265" t="inlineStr">
        <is>
          <t>2261858810002656</t>
        </is>
      </c>
      <c r="AZ265" t="inlineStr">
        <is>
          <t>BOOK</t>
        </is>
      </c>
      <c r="BB265" t="inlineStr">
        <is>
          <t>9780880010566</t>
        </is>
      </c>
      <c r="BC265" t="inlineStr">
        <is>
          <t>32285005518328</t>
        </is>
      </c>
      <c r="BD265" t="inlineStr">
        <is>
          <t>893533542</t>
        </is>
      </c>
    </row>
    <row r="266">
      <c r="A266" t="inlineStr">
        <is>
          <t>No</t>
        </is>
      </c>
      <c r="B266" t="inlineStr">
        <is>
          <t>PG3456.A15 G3 1984 vl. 10</t>
        </is>
      </c>
      <c r="C266" t="inlineStr">
        <is>
          <t>0                      PG 3456000A  15                 G  3           1984                  vl. 10</t>
        </is>
      </c>
      <c r="D266" t="inlineStr">
        <is>
          <t>The horse-stealers and other stories / by Anton Chekhov ; translated by Constance Garnett.</t>
        </is>
      </c>
      <c r="E266" t="inlineStr">
        <is>
          <t>V. 10</t>
        </is>
      </c>
      <c r="F266" t="inlineStr">
        <is>
          <t>No</t>
        </is>
      </c>
      <c r="G266" t="inlineStr">
        <is>
          <t>1</t>
        </is>
      </c>
      <c r="H266" t="inlineStr">
        <is>
          <t>No</t>
        </is>
      </c>
      <c r="I266" t="inlineStr">
        <is>
          <t>Yes</t>
        </is>
      </c>
      <c r="J266" t="inlineStr">
        <is>
          <t>0</t>
        </is>
      </c>
      <c r="K266" t="inlineStr">
        <is>
          <t>Chekhov, Anton Pavlovich, 1860-1904.</t>
        </is>
      </c>
      <c r="L266" t="inlineStr">
        <is>
          <t>New York : Ecco Press, 1986, c1921.</t>
        </is>
      </c>
      <c r="M266" t="inlineStr">
        <is>
          <t>1986</t>
        </is>
      </c>
      <c r="O266" t="inlineStr">
        <is>
          <t>eng</t>
        </is>
      </c>
      <c r="P266" t="inlineStr">
        <is>
          <t>nyu</t>
        </is>
      </c>
      <c r="Q266" t="inlineStr">
        <is>
          <t>The tales of Chekhov ; v. 10</t>
        </is>
      </c>
      <c r="R266" t="inlineStr">
        <is>
          <t xml:space="preserve">PG </t>
        </is>
      </c>
      <c r="S266" t="n">
        <v>1</v>
      </c>
      <c r="T266" t="n">
        <v>1</v>
      </c>
      <c r="U266" t="inlineStr">
        <is>
          <t>2009-04-23</t>
        </is>
      </c>
      <c r="V266" t="inlineStr">
        <is>
          <t>2009-04-23</t>
        </is>
      </c>
      <c r="W266" t="inlineStr">
        <is>
          <t>2009-04-23</t>
        </is>
      </c>
      <c r="X266" t="inlineStr">
        <is>
          <t>2009-04-23</t>
        </is>
      </c>
      <c r="Y266" t="n">
        <v>174</v>
      </c>
      <c r="Z266" t="n">
        <v>163</v>
      </c>
      <c r="AA266" t="n">
        <v>4456</v>
      </c>
      <c r="AB266" t="n">
        <v>2</v>
      </c>
      <c r="AC266" t="n">
        <v>37</v>
      </c>
      <c r="AD266" t="n">
        <v>8</v>
      </c>
      <c r="AE266" t="n">
        <v>74</v>
      </c>
      <c r="AF266" t="n">
        <v>2</v>
      </c>
      <c r="AG266" t="n">
        <v>29</v>
      </c>
      <c r="AH266" t="n">
        <v>3</v>
      </c>
      <c r="AI266" t="n">
        <v>11</v>
      </c>
      <c r="AJ266" t="n">
        <v>4</v>
      </c>
      <c r="AK266" t="n">
        <v>29</v>
      </c>
      <c r="AL266" t="n">
        <v>1</v>
      </c>
      <c r="AM266" t="n">
        <v>17</v>
      </c>
      <c r="AN266" t="n">
        <v>0</v>
      </c>
      <c r="AO266" t="n">
        <v>2</v>
      </c>
      <c r="AP266" t="inlineStr">
        <is>
          <t>No</t>
        </is>
      </c>
      <c r="AQ266" t="inlineStr">
        <is>
          <t>Yes</t>
        </is>
      </c>
      <c r="AR266">
        <f>HYPERLINK("http://catalog.hathitrust.org/Record/008324519","HathiTrust Record")</f>
        <v/>
      </c>
      <c r="AS266">
        <f>HYPERLINK("https://creighton-primo.hosted.exlibrisgroup.com/primo-explore/search?tab=default_tab&amp;search_scope=EVERYTHING&amp;vid=01CRU&amp;lang=en_US&amp;offset=0&amp;query=any,contains,991005312869702656","Catalog Record")</f>
        <v/>
      </c>
      <c r="AT266">
        <f>HYPERLINK("http://www.worldcat.org/oclc/12419747","WorldCat Record")</f>
        <v/>
      </c>
      <c r="AU266" t="inlineStr">
        <is>
          <t>4494917515:eng</t>
        </is>
      </c>
      <c r="AV266" t="inlineStr">
        <is>
          <t>12419747</t>
        </is>
      </c>
      <c r="AW266" t="inlineStr">
        <is>
          <t>991005312869702656</t>
        </is>
      </c>
      <c r="AX266" t="inlineStr">
        <is>
          <t>991005312869702656</t>
        </is>
      </c>
      <c r="AY266" t="inlineStr">
        <is>
          <t>2261858930002656</t>
        </is>
      </c>
      <c r="AZ266" t="inlineStr">
        <is>
          <t>BOOK</t>
        </is>
      </c>
      <c r="BB266" t="inlineStr">
        <is>
          <t>9780880010573</t>
        </is>
      </c>
      <c r="BC266" t="inlineStr">
        <is>
          <t>32285005518336</t>
        </is>
      </c>
      <c r="BD266" t="inlineStr">
        <is>
          <t>893625809</t>
        </is>
      </c>
    </row>
    <row r="267">
      <c r="A267" t="inlineStr">
        <is>
          <t>No</t>
        </is>
      </c>
      <c r="B267" t="inlineStr">
        <is>
          <t>PG3456.A15 G3 1984, v.1</t>
        </is>
      </c>
      <c r="C267" t="inlineStr">
        <is>
          <t>0                      PG 3456000A  15                 G  3           1984                  v.1</t>
        </is>
      </c>
      <c r="D267" t="inlineStr">
        <is>
          <t>The darling and other stories / by Anton Chekhov ; translated by Constance Garnett.</t>
        </is>
      </c>
      <c r="E267" t="inlineStr">
        <is>
          <t>V. 1</t>
        </is>
      </c>
      <c r="F267" t="inlineStr">
        <is>
          <t>No</t>
        </is>
      </c>
      <c r="G267" t="inlineStr">
        <is>
          <t>1</t>
        </is>
      </c>
      <c r="H267" t="inlineStr">
        <is>
          <t>No</t>
        </is>
      </c>
      <c r="I267" t="inlineStr">
        <is>
          <t>Yes</t>
        </is>
      </c>
      <c r="J267" t="inlineStr">
        <is>
          <t>0</t>
        </is>
      </c>
      <c r="K267" t="inlineStr">
        <is>
          <t>Chekhov, Anton Pavlovich, 1860-1904.</t>
        </is>
      </c>
      <c r="L267" t="inlineStr">
        <is>
          <t>New York : Ecco Press : Distributed by Norton, 1984, c1976.</t>
        </is>
      </c>
      <c r="M267" t="inlineStr">
        <is>
          <t>1984</t>
        </is>
      </c>
      <c r="O267" t="inlineStr">
        <is>
          <t>eng</t>
        </is>
      </c>
      <c r="P267" t="inlineStr">
        <is>
          <t>nyu</t>
        </is>
      </c>
      <c r="Q267" t="inlineStr">
        <is>
          <t>The Tales of Chekhov ; v. 1</t>
        </is>
      </c>
      <c r="R267" t="inlineStr">
        <is>
          <t xml:space="preserve">PG </t>
        </is>
      </c>
      <c r="S267" t="n">
        <v>10</v>
      </c>
      <c r="T267" t="n">
        <v>10</v>
      </c>
      <c r="U267" t="inlineStr">
        <is>
          <t>2001-04-17</t>
        </is>
      </c>
      <c r="V267" t="inlineStr">
        <is>
          <t>2001-04-17</t>
        </is>
      </c>
      <c r="W267" t="inlineStr">
        <is>
          <t>1993-04-28</t>
        </is>
      </c>
      <c r="X267" t="inlineStr">
        <is>
          <t>1993-04-28</t>
        </is>
      </c>
      <c r="Y267" t="n">
        <v>176</v>
      </c>
      <c r="Z267" t="n">
        <v>160</v>
      </c>
      <c r="AA267" t="n">
        <v>4456</v>
      </c>
      <c r="AB267" t="n">
        <v>3</v>
      </c>
      <c r="AC267" t="n">
        <v>37</v>
      </c>
      <c r="AD267" t="n">
        <v>9</v>
      </c>
      <c r="AE267" t="n">
        <v>74</v>
      </c>
      <c r="AF267" t="n">
        <v>3</v>
      </c>
      <c r="AG267" t="n">
        <v>29</v>
      </c>
      <c r="AH267" t="n">
        <v>3</v>
      </c>
      <c r="AI267" t="n">
        <v>11</v>
      </c>
      <c r="AJ267" t="n">
        <v>5</v>
      </c>
      <c r="AK267" t="n">
        <v>29</v>
      </c>
      <c r="AL267" t="n">
        <v>1</v>
      </c>
      <c r="AM267" t="n">
        <v>17</v>
      </c>
      <c r="AN267" t="n">
        <v>0</v>
      </c>
      <c r="AO267" t="n">
        <v>2</v>
      </c>
      <c r="AP267" t="inlineStr">
        <is>
          <t>No</t>
        </is>
      </c>
      <c r="AQ267" t="inlineStr">
        <is>
          <t>Yes</t>
        </is>
      </c>
      <c r="AR267">
        <f>HYPERLINK("http://catalog.hathitrust.org/Record/002721523","HathiTrust Record")</f>
        <v/>
      </c>
      <c r="AS267">
        <f>HYPERLINK("https://creighton-primo.hosted.exlibrisgroup.com/primo-explore/search?tab=default_tab&amp;search_scope=EVERYTHING&amp;vid=01CRU&amp;lang=en_US&amp;offset=0&amp;query=any,contains,991000285329702656","Catalog Record")</f>
        <v/>
      </c>
      <c r="AT267">
        <f>HYPERLINK("http://www.worldcat.org/oclc/9943400","WorldCat Record")</f>
        <v/>
      </c>
      <c r="AU267" t="inlineStr">
        <is>
          <t>4494917515:eng</t>
        </is>
      </c>
      <c r="AV267" t="inlineStr">
        <is>
          <t>9943400</t>
        </is>
      </c>
      <c r="AW267" t="inlineStr">
        <is>
          <t>991000285329702656</t>
        </is>
      </c>
      <c r="AX267" t="inlineStr">
        <is>
          <t>991000285329702656</t>
        </is>
      </c>
      <c r="AY267" t="inlineStr">
        <is>
          <t>2263337640002656</t>
        </is>
      </c>
      <c r="AZ267" t="inlineStr">
        <is>
          <t>BOOK</t>
        </is>
      </c>
      <c r="BB267" t="inlineStr">
        <is>
          <t>9780880010382</t>
        </is>
      </c>
      <c r="BC267" t="inlineStr">
        <is>
          <t>32285001649481</t>
        </is>
      </c>
      <c r="BD267" t="inlineStr">
        <is>
          <t>893333355</t>
        </is>
      </c>
    </row>
    <row r="268">
      <c r="A268" t="inlineStr">
        <is>
          <t>No</t>
        </is>
      </c>
      <c r="B268" t="inlineStr">
        <is>
          <t>PG3456.A15 G3 1984, v.2</t>
        </is>
      </c>
      <c r="C268" t="inlineStr">
        <is>
          <t>0                      PG 3456000A  15                 G  3           1984                  v.2</t>
        </is>
      </c>
      <c r="D268" t="inlineStr">
        <is>
          <t>The duel and other stories / by Anton Chekhov ; translated by Constance Garnett.</t>
        </is>
      </c>
      <c r="E268" t="inlineStr">
        <is>
          <t>V. 2</t>
        </is>
      </c>
      <c r="F268" t="inlineStr">
        <is>
          <t>No</t>
        </is>
      </c>
      <c r="G268" t="inlineStr">
        <is>
          <t>1</t>
        </is>
      </c>
      <c r="H268" t="inlineStr">
        <is>
          <t>No</t>
        </is>
      </c>
      <c r="I268" t="inlineStr">
        <is>
          <t>Yes</t>
        </is>
      </c>
      <c r="J268" t="inlineStr">
        <is>
          <t>0</t>
        </is>
      </c>
      <c r="K268" t="inlineStr">
        <is>
          <t>Chekhov, Anton Pavlovich, 1860-1904.</t>
        </is>
      </c>
      <c r="L268" t="inlineStr">
        <is>
          <t>New York : Ecco Press : Distributed by Norton, 1984, c1972.</t>
        </is>
      </c>
      <c r="M268" t="inlineStr">
        <is>
          <t>1984</t>
        </is>
      </c>
      <c r="O268" t="inlineStr">
        <is>
          <t>eng</t>
        </is>
      </c>
      <c r="P268" t="inlineStr">
        <is>
          <t>nyu</t>
        </is>
      </c>
      <c r="Q268" t="inlineStr">
        <is>
          <t>The Tales of Chekhov ; v. 2</t>
        </is>
      </c>
      <c r="R268" t="inlineStr">
        <is>
          <t xml:space="preserve">PG </t>
        </is>
      </c>
      <c r="S268" t="n">
        <v>4</v>
      </c>
      <c r="T268" t="n">
        <v>4</v>
      </c>
      <c r="U268" t="inlineStr">
        <is>
          <t>2010-07-08</t>
        </is>
      </c>
      <c r="V268" t="inlineStr">
        <is>
          <t>2010-07-08</t>
        </is>
      </c>
      <c r="W268" t="inlineStr">
        <is>
          <t>1993-04-28</t>
        </is>
      </c>
      <c r="X268" t="inlineStr">
        <is>
          <t>1993-04-28</t>
        </is>
      </c>
      <c r="Y268" t="n">
        <v>191</v>
      </c>
      <c r="Z268" t="n">
        <v>173</v>
      </c>
      <c r="AA268" t="n">
        <v>4456</v>
      </c>
      <c r="AB268" t="n">
        <v>2</v>
      </c>
      <c r="AC268" t="n">
        <v>37</v>
      </c>
      <c r="AD268" t="n">
        <v>7</v>
      </c>
      <c r="AE268" t="n">
        <v>74</v>
      </c>
      <c r="AF268" t="n">
        <v>3</v>
      </c>
      <c r="AG268" t="n">
        <v>29</v>
      </c>
      <c r="AH268" t="n">
        <v>2</v>
      </c>
      <c r="AI268" t="n">
        <v>11</v>
      </c>
      <c r="AJ268" t="n">
        <v>4</v>
      </c>
      <c r="AK268" t="n">
        <v>29</v>
      </c>
      <c r="AL268" t="n">
        <v>1</v>
      </c>
      <c r="AM268" t="n">
        <v>17</v>
      </c>
      <c r="AN268" t="n">
        <v>0</v>
      </c>
      <c r="AO268" t="n">
        <v>2</v>
      </c>
      <c r="AP268" t="inlineStr">
        <is>
          <t>No</t>
        </is>
      </c>
      <c r="AQ268" t="inlineStr">
        <is>
          <t>Yes</t>
        </is>
      </c>
      <c r="AR268">
        <f>HYPERLINK("http://catalog.hathitrust.org/Record/008324512","HathiTrust Record")</f>
        <v/>
      </c>
      <c r="AS268">
        <f>HYPERLINK("https://creighton-primo.hosted.exlibrisgroup.com/primo-explore/search?tab=default_tab&amp;search_scope=EVERYTHING&amp;vid=01CRU&amp;lang=en_US&amp;offset=0&amp;query=any,contains,991000285259702656","Catalog Record")</f>
        <v/>
      </c>
      <c r="AT268">
        <f>HYPERLINK("http://www.worldcat.org/oclc/9943398","WorldCat Record")</f>
        <v/>
      </c>
      <c r="AU268" t="inlineStr">
        <is>
          <t>4494917515:eng</t>
        </is>
      </c>
      <c r="AV268" t="inlineStr">
        <is>
          <t>9943398</t>
        </is>
      </c>
      <c r="AW268" t="inlineStr">
        <is>
          <t>991000285259702656</t>
        </is>
      </c>
      <c r="AX268" t="inlineStr">
        <is>
          <t>991000285259702656</t>
        </is>
      </c>
      <c r="AY268" t="inlineStr">
        <is>
          <t>2263279460002656</t>
        </is>
      </c>
      <c r="AZ268" t="inlineStr">
        <is>
          <t>BOOK</t>
        </is>
      </c>
      <c r="BB268" t="inlineStr">
        <is>
          <t>9780880010399</t>
        </is>
      </c>
      <c r="BC268" t="inlineStr">
        <is>
          <t>32285001649499</t>
        </is>
      </c>
      <c r="BD268" t="inlineStr">
        <is>
          <t>893620353</t>
        </is>
      </c>
    </row>
    <row r="269">
      <c r="A269" t="inlineStr">
        <is>
          <t>No</t>
        </is>
      </c>
      <c r="B269" t="inlineStr">
        <is>
          <t>PG3456.A15 H56 1990</t>
        </is>
      </c>
      <c r="C269" t="inlineStr">
        <is>
          <t>0                      PG 3456000A  15                 H  56          1990</t>
        </is>
      </c>
      <c r="D269" t="inlineStr">
        <is>
          <t>The princess and other stories / Anton Chekhov ; translated with an introduction and notes by Ronald Hingley.</t>
        </is>
      </c>
      <c r="F269" t="inlineStr">
        <is>
          <t>No</t>
        </is>
      </c>
      <c r="G269" t="inlineStr">
        <is>
          <t>1</t>
        </is>
      </c>
      <c r="H269" t="inlineStr">
        <is>
          <t>No</t>
        </is>
      </c>
      <c r="I269" t="inlineStr">
        <is>
          <t>Yes</t>
        </is>
      </c>
      <c r="J269" t="inlineStr">
        <is>
          <t>0</t>
        </is>
      </c>
      <c r="K269" t="inlineStr">
        <is>
          <t>Chekhov, Anton Pavlovich, 1860-1904.</t>
        </is>
      </c>
      <c r="L269" t="inlineStr">
        <is>
          <t>Oxford [England] ; New York : Oxford University Press, 1990.</t>
        </is>
      </c>
      <c r="M269" t="inlineStr">
        <is>
          <t>1990</t>
        </is>
      </c>
      <c r="O269" t="inlineStr">
        <is>
          <t>eng</t>
        </is>
      </c>
      <c r="P269" t="inlineStr">
        <is>
          <t>enk</t>
        </is>
      </c>
      <c r="Q269" t="inlineStr">
        <is>
          <t>The World's classics</t>
        </is>
      </c>
      <c r="R269" t="inlineStr">
        <is>
          <t xml:space="preserve">PG </t>
        </is>
      </c>
      <c r="S269" t="n">
        <v>5</v>
      </c>
      <c r="T269" t="n">
        <v>5</v>
      </c>
      <c r="U269" t="inlineStr">
        <is>
          <t>1999-05-24</t>
        </is>
      </c>
      <c r="V269" t="inlineStr">
        <is>
          <t>1999-05-24</t>
        </is>
      </c>
      <c r="W269" t="inlineStr">
        <is>
          <t>1992-11-20</t>
        </is>
      </c>
      <c r="X269" t="inlineStr">
        <is>
          <t>1992-11-20</t>
        </is>
      </c>
      <c r="Y269" t="n">
        <v>158</v>
      </c>
      <c r="Z269" t="n">
        <v>96</v>
      </c>
      <c r="AA269" t="n">
        <v>4456</v>
      </c>
      <c r="AB269" t="n">
        <v>2</v>
      </c>
      <c r="AC269" t="n">
        <v>37</v>
      </c>
      <c r="AD269" t="n">
        <v>3</v>
      </c>
      <c r="AE269" t="n">
        <v>74</v>
      </c>
      <c r="AF269" t="n">
        <v>1</v>
      </c>
      <c r="AG269" t="n">
        <v>29</v>
      </c>
      <c r="AH269" t="n">
        <v>3</v>
      </c>
      <c r="AI269" t="n">
        <v>11</v>
      </c>
      <c r="AJ269" t="n">
        <v>1</v>
      </c>
      <c r="AK269" t="n">
        <v>29</v>
      </c>
      <c r="AL269" t="n">
        <v>0</v>
      </c>
      <c r="AM269" t="n">
        <v>17</v>
      </c>
      <c r="AN269" t="n">
        <v>0</v>
      </c>
      <c r="AO269" t="n">
        <v>2</v>
      </c>
      <c r="AP269" t="inlineStr">
        <is>
          <t>No</t>
        </is>
      </c>
      <c r="AQ269" t="inlineStr">
        <is>
          <t>No</t>
        </is>
      </c>
      <c r="AS269">
        <f>HYPERLINK("https://creighton-primo.hosted.exlibrisgroup.com/primo-explore/search?tab=default_tab&amp;search_scope=EVERYTHING&amp;vid=01CRU&amp;lang=en_US&amp;offset=0&amp;query=any,contains,991001518019702656","Catalog Record")</f>
        <v/>
      </c>
      <c r="AT269">
        <f>HYPERLINK("http://www.worldcat.org/oclc/19970031","WorldCat Record")</f>
        <v/>
      </c>
      <c r="AU269" t="inlineStr">
        <is>
          <t>4494917515:eng</t>
        </is>
      </c>
      <c r="AV269" t="inlineStr">
        <is>
          <t>19970031</t>
        </is>
      </c>
      <c r="AW269" t="inlineStr">
        <is>
          <t>991001518019702656</t>
        </is>
      </c>
      <c r="AX269" t="inlineStr">
        <is>
          <t>991001518019702656</t>
        </is>
      </c>
      <c r="AY269" t="inlineStr">
        <is>
          <t>2262453750002656</t>
        </is>
      </c>
      <c r="AZ269" t="inlineStr">
        <is>
          <t>BOOK</t>
        </is>
      </c>
      <c r="BB269" t="inlineStr">
        <is>
          <t>9780192826626</t>
        </is>
      </c>
      <c r="BC269" t="inlineStr">
        <is>
          <t>32285001363943</t>
        </is>
      </c>
      <c r="BD269" t="inlineStr">
        <is>
          <t>893315819</t>
        </is>
      </c>
    </row>
    <row r="270">
      <c r="A270" t="inlineStr">
        <is>
          <t>No</t>
        </is>
      </c>
      <c r="B270" t="inlineStr">
        <is>
          <t>PG3456.A16 F7 1964</t>
        </is>
      </c>
      <c r="C270" t="inlineStr">
        <is>
          <t>0                      PG 3456000A  16                 F  7           1964</t>
        </is>
      </c>
      <c r="D270" t="inlineStr">
        <is>
          <t>Letters on the short story, the drama, and other literary topics / by Anton Chekhov. Selected and edited by Louis S. Friedland. With a pref. by Ernest J. Simmons.</t>
        </is>
      </c>
      <c r="F270" t="inlineStr">
        <is>
          <t>No</t>
        </is>
      </c>
      <c r="G270" t="inlineStr">
        <is>
          <t>1</t>
        </is>
      </c>
      <c r="H270" t="inlineStr">
        <is>
          <t>No</t>
        </is>
      </c>
      <c r="I270" t="inlineStr">
        <is>
          <t>No</t>
        </is>
      </c>
      <c r="J270" t="inlineStr">
        <is>
          <t>0</t>
        </is>
      </c>
      <c r="K270" t="inlineStr">
        <is>
          <t>Chekhov, Anton Pavlovich, 1860-1904.</t>
        </is>
      </c>
      <c r="L270" t="inlineStr">
        <is>
          <t>New York : B. Blom, [1964]</t>
        </is>
      </c>
      <c r="M270" t="inlineStr">
        <is>
          <t>1964</t>
        </is>
      </c>
      <c r="O270" t="inlineStr">
        <is>
          <t>eng</t>
        </is>
      </c>
      <c r="P270" t="inlineStr">
        <is>
          <t>nyu</t>
        </is>
      </c>
      <c r="R270" t="inlineStr">
        <is>
          <t xml:space="preserve">PG </t>
        </is>
      </c>
      <c r="S270" t="n">
        <v>14</v>
      </c>
      <c r="T270" t="n">
        <v>14</v>
      </c>
      <c r="U270" t="inlineStr">
        <is>
          <t>2003-02-12</t>
        </is>
      </c>
      <c r="V270" t="inlineStr">
        <is>
          <t>2003-02-12</t>
        </is>
      </c>
      <c r="W270" t="inlineStr">
        <is>
          <t>1990-09-18</t>
        </is>
      </c>
      <c r="X270" t="inlineStr">
        <is>
          <t>1990-09-18</t>
        </is>
      </c>
      <c r="Y270" t="n">
        <v>758</v>
      </c>
      <c r="Z270" t="n">
        <v>711</v>
      </c>
      <c r="AA270" t="n">
        <v>1021</v>
      </c>
      <c r="AB270" t="n">
        <v>6</v>
      </c>
      <c r="AC270" t="n">
        <v>10</v>
      </c>
      <c r="AD270" t="n">
        <v>31</v>
      </c>
      <c r="AE270" t="n">
        <v>45</v>
      </c>
      <c r="AF270" t="n">
        <v>12</v>
      </c>
      <c r="AG270" t="n">
        <v>16</v>
      </c>
      <c r="AH270" t="n">
        <v>6</v>
      </c>
      <c r="AI270" t="n">
        <v>9</v>
      </c>
      <c r="AJ270" t="n">
        <v>14</v>
      </c>
      <c r="AK270" t="n">
        <v>19</v>
      </c>
      <c r="AL270" t="n">
        <v>5</v>
      </c>
      <c r="AM270" t="n">
        <v>9</v>
      </c>
      <c r="AN270" t="n">
        <v>0</v>
      </c>
      <c r="AO270" t="n">
        <v>0</v>
      </c>
      <c r="AP270" t="inlineStr">
        <is>
          <t>No</t>
        </is>
      </c>
      <c r="AQ270" t="inlineStr">
        <is>
          <t>Yes</t>
        </is>
      </c>
      <c r="AR270">
        <f>HYPERLINK("http://catalog.hathitrust.org/Record/002447747","HathiTrust Record")</f>
        <v/>
      </c>
      <c r="AS270">
        <f>HYPERLINK("https://creighton-primo.hosted.exlibrisgroup.com/primo-explore/search?tab=default_tab&amp;search_scope=EVERYTHING&amp;vid=01CRU&amp;lang=en_US&amp;offset=0&amp;query=any,contains,991002292419702656","Catalog Record")</f>
        <v/>
      </c>
      <c r="AT270">
        <f>HYPERLINK("http://www.worldcat.org/oclc/313664","WorldCat Record")</f>
        <v/>
      </c>
      <c r="AU270" t="inlineStr">
        <is>
          <t>1378355:eng</t>
        </is>
      </c>
      <c r="AV270" t="inlineStr">
        <is>
          <t>313664</t>
        </is>
      </c>
      <c r="AW270" t="inlineStr">
        <is>
          <t>991002292419702656</t>
        </is>
      </c>
      <c r="AX270" t="inlineStr">
        <is>
          <t>991002292419702656</t>
        </is>
      </c>
      <c r="AY270" t="inlineStr">
        <is>
          <t>2269807530002656</t>
        </is>
      </c>
      <c r="AZ270" t="inlineStr">
        <is>
          <t>BOOK</t>
        </is>
      </c>
      <c r="BC270" t="inlineStr">
        <is>
          <t>32285000304278</t>
        </is>
      </c>
      <c r="BD270" t="inlineStr">
        <is>
          <t>893244997</t>
        </is>
      </c>
    </row>
    <row r="271">
      <c r="A271" t="inlineStr">
        <is>
          <t>No</t>
        </is>
      </c>
      <c r="B271" t="inlineStr">
        <is>
          <t>PG3456.P43 F73 1985</t>
        </is>
      </c>
      <c r="C271" t="inlineStr">
        <is>
          <t>0                      PG 3456000P  43                 F  73          1985</t>
        </is>
      </c>
      <c r="D271" t="inlineStr">
        <is>
          <t>Wild honey : the untitled play / by Anton Chekhov ; in a version by Michael Frayn.</t>
        </is>
      </c>
      <c r="F271" t="inlineStr">
        <is>
          <t>No</t>
        </is>
      </c>
      <c r="G271" t="inlineStr">
        <is>
          <t>1</t>
        </is>
      </c>
      <c r="H271" t="inlineStr">
        <is>
          <t>No</t>
        </is>
      </c>
      <c r="I271" t="inlineStr">
        <is>
          <t>No</t>
        </is>
      </c>
      <c r="J271" t="inlineStr">
        <is>
          <t>0</t>
        </is>
      </c>
      <c r="K271" t="inlineStr">
        <is>
          <t>Chekhov, Anton Pavlovich, 1860-1904.</t>
        </is>
      </c>
      <c r="L271" t="inlineStr">
        <is>
          <t>London ; New York : Methuen, 1985.</t>
        </is>
      </c>
      <c r="M271" t="inlineStr">
        <is>
          <t>1985</t>
        </is>
      </c>
      <c r="N271" t="inlineStr">
        <is>
          <t>2nd ed. fully revised, post-production.</t>
        </is>
      </c>
      <c r="O271" t="inlineStr">
        <is>
          <t>eng</t>
        </is>
      </c>
      <c r="P271" t="inlineStr">
        <is>
          <t>enk</t>
        </is>
      </c>
      <c r="R271" t="inlineStr">
        <is>
          <t xml:space="preserve">PG </t>
        </is>
      </c>
      <c r="S271" t="n">
        <v>2</v>
      </c>
      <c r="T271" t="n">
        <v>2</v>
      </c>
      <c r="U271" t="inlineStr">
        <is>
          <t>1994-11-06</t>
        </is>
      </c>
      <c r="V271" t="inlineStr">
        <is>
          <t>1994-11-06</t>
        </is>
      </c>
      <c r="W271" t="inlineStr">
        <is>
          <t>1993-04-28</t>
        </is>
      </c>
      <c r="X271" t="inlineStr">
        <is>
          <t>1993-04-28</t>
        </is>
      </c>
      <c r="Y271" t="n">
        <v>199</v>
      </c>
      <c r="Z271" t="n">
        <v>199</v>
      </c>
      <c r="AA271" t="n">
        <v>689</v>
      </c>
      <c r="AB271" t="n">
        <v>4</v>
      </c>
      <c r="AC271" t="n">
        <v>5</v>
      </c>
      <c r="AD271" t="n">
        <v>9</v>
      </c>
      <c r="AE271" t="n">
        <v>29</v>
      </c>
      <c r="AF271" t="n">
        <v>6</v>
      </c>
      <c r="AG271" t="n">
        <v>14</v>
      </c>
      <c r="AH271" t="n">
        <v>0</v>
      </c>
      <c r="AI271" t="n">
        <v>6</v>
      </c>
      <c r="AJ271" t="n">
        <v>1</v>
      </c>
      <c r="AK271" t="n">
        <v>12</v>
      </c>
      <c r="AL271" t="n">
        <v>3</v>
      </c>
      <c r="AM271" t="n">
        <v>4</v>
      </c>
      <c r="AN271" t="n">
        <v>0</v>
      </c>
      <c r="AO271" t="n">
        <v>0</v>
      </c>
      <c r="AP271" t="inlineStr">
        <is>
          <t>No</t>
        </is>
      </c>
      <c r="AQ271" t="inlineStr">
        <is>
          <t>No</t>
        </is>
      </c>
      <c r="AS271">
        <f>HYPERLINK("https://creighton-primo.hosted.exlibrisgroup.com/primo-explore/search?tab=default_tab&amp;search_scope=EVERYTHING&amp;vid=01CRU&amp;lang=en_US&amp;offset=0&amp;query=any,contains,991001076709702656","Catalog Record")</f>
        <v/>
      </c>
      <c r="AT271">
        <f>HYPERLINK("http://www.worldcat.org/oclc/16057650","WorldCat Record")</f>
        <v/>
      </c>
      <c r="AU271" t="inlineStr">
        <is>
          <t>1030864:eng</t>
        </is>
      </c>
      <c r="AV271" t="inlineStr">
        <is>
          <t>16057650</t>
        </is>
      </c>
      <c r="AW271" t="inlineStr">
        <is>
          <t>991001076709702656</t>
        </is>
      </c>
      <c r="AX271" t="inlineStr">
        <is>
          <t>991001076709702656</t>
        </is>
      </c>
      <c r="AY271" t="inlineStr">
        <is>
          <t>2272422900002656</t>
        </is>
      </c>
      <c r="AZ271" t="inlineStr">
        <is>
          <t>BOOK</t>
        </is>
      </c>
      <c r="BC271" t="inlineStr">
        <is>
          <t>32285001649507</t>
        </is>
      </c>
      <c r="BD271" t="inlineStr">
        <is>
          <t>893249946</t>
        </is>
      </c>
    </row>
    <row r="272">
      <c r="A272" t="inlineStr">
        <is>
          <t>No</t>
        </is>
      </c>
      <c r="B272" t="inlineStr">
        <is>
          <t>PG3456.V5 M57 1991</t>
        </is>
      </c>
      <c r="C272" t="inlineStr">
        <is>
          <t>0                      PG 3456000V  5                  M  57          1991</t>
        </is>
      </c>
      <c r="D272" t="inlineStr">
        <is>
          <t>Staging Chekhov : Cherry orchard / a tribute to Yuri Zavadski, actor and director for Stanislavski by John D. Mitchell ; foreword by Norris Houghton.</t>
        </is>
      </c>
      <c r="F272" t="inlineStr">
        <is>
          <t>No</t>
        </is>
      </c>
      <c r="G272" t="inlineStr">
        <is>
          <t>1</t>
        </is>
      </c>
      <c r="H272" t="inlineStr">
        <is>
          <t>No</t>
        </is>
      </c>
      <c r="I272" t="inlineStr">
        <is>
          <t>No</t>
        </is>
      </c>
      <c r="J272" t="inlineStr">
        <is>
          <t>0</t>
        </is>
      </c>
      <c r="K272" t="inlineStr">
        <is>
          <t>Chekhov, Anton Pavlovich, 1860-1904.</t>
        </is>
      </c>
      <c r="L272" t="inlineStr">
        <is>
          <t>New York, NY : Published by Institute for Advanced Studies in the Theatre Arts Press in association with Florida Keys Community College, c1991.</t>
        </is>
      </c>
      <c r="M272" t="inlineStr">
        <is>
          <t>1991</t>
        </is>
      </c>
      <c r="N272" t="inlineStr">
        <is>
          <t>1st ed.</t>
        </is>
      </c>
      <c r="O272" t="inlineStr">
        <is>
          <t>eng</t>
        </is>
      </c>
      <c r="P272" t="inlineStr">
        <is>
          <t>nyu</t>
        </is>
      </c>
      <c r="R272" t="inlineStr">
        <is>
          <t xml:space="preserve">PG </t>
        </is>
      </c>
      <c r="S272" t="n">
        <v>3</v>
      </c>
      <c r="T272" t="n">
        <v>3</v>
      </c>
      <c r="U272" t="inlineStr">
        <is>
          <t>1998-04-08</t>
        </is>
      </c>
      <c r="V272" t="inlineStr">
        <is>
          <t>1998-04-08</t>
        </is>
      </c>
      <c r="W272" t="inlineStr">
        <is>
          <t>1997-04-18</t>
        </is>
      </c>
      <c r="X272" t="inlineStr">
        <is>
          <t>1997-04-18</t>
        </is>
      </c>
      <c r="Y272" t="n">
        <v>147</v>
      </c>
      <c r="Z272" t="n">
        <v>139</v>
      </c>
      <c r="AA272" t="n">
        <v>141</v>
      </c>
      <c r="AB272" t="n">
        <v>1</v>
      </c>
      <c r="AC272" t="n">
        <v>1</v>
      </c>
      <c r="AD272" t="n">
        <v>5</v>
      </c>
      <c r="AE272" t="n">
        <v>5</v>
      </c>
      <c r="AF272" t="n">
        <v>1</v>
      </c>
      <c r="AG272" t="n">
        <v>1</v>
      </c>
      <c r="AH272" t="n">
        <v>2</v>
      </c>
      <c r="AI272" t="n">
        <v>2</v>
      </c>
      <c r="AJ272" t="n">
        <v>3</v>
      </c>
      <c r="AK272" t="n">
        <v>3</v>
      </c>
      <c r="AL272" t="n">
        <v>0</v>
      </c>
      <c r="AM272" t="n">
        <v>0</v>
      </c>
      <c r="AN272" t="n">
        <v>0</v>
      </c>
      <c r="AO272" t="n">
        <v>0</v>
      </c>
      <c r="AP272" t="inlineStr">
        <is>
          <t>No</t>
        </is>
      </c>
      <c r="AQ272" t="inlineStr">
        <is>
          <t>Yes</t>
        </is>
      </c>
      <c r="AR272">
        <f>HYPERLINK("http://catalog.hathitrust.org/Record/007022350","HathiTrust Record")</f>
        <v/>
      </c>
      <c r="AS272">
        <f>HYPERLINK("https://creighton-primo.hosted.exlibrisgroup.com/primo-explore/search?tab=default_tab&amp;search_scope=EVERYTHING&amp;vid=01CRU&amp;lang=en_US&amp;offset=0&amp;query=any,contains,991002037379702656","Catalog Record")</f>
        <v/>
      </c>
      <c r="AT272">
        <f>HYPERLINK("http://www.worldcat.org/oclc/25966921","WorldCat Record")</f>
        <v/>
      </c>
      <c r="AU272" t="inlineStr">
        <is>
          <t>1314568772:eng</t>
        </is>
      </c>
      <c r="AV272" t="inlineStr">
        <is>
          <t>25966921</t>
        </is>
      </c>
      <c r="AW272" t="inlineStr">
        <is>
          <t>991002037379702656</t>
        </is>
      </c>
      <c r="AX272" t="inlineStr">
        <is>
          <t>991002037379702656</t>
        </is>
      </c>
      <c r="AY272" t="inlineStr">
        <is>
          <t>2261516060002656</t>
        </is>
      </c>
      <c r="AZ272" t="inlineStr">
        <is>
          <t>BOOK</t>
        </is>
      </c>
      <c r="BC272" t="inlineStr">
        <is>
          <t>32285002498524</t>
        </is>
      </c>
      <c r="BD272" t="inlineStr">
        <is>
          <t>893250737</t>
        </is>
      </c>
    </row>
    <row r="273">
      <c r="A273" t="inlineStr">
        <is>
          <t>No</t>
        </is>
      </c>
      <c r="B273" t="inlineStr">
        <is>
          <t>PG3458 .A9 1971</t>
        </is>
      </c>
      <c r="C273" t="inlineStr">
        <is>
          <t>0                      PG 3458000A  9           1971</t>
        </is>
      </c>
      <c r="D273" t="inlineStr">
        <is>
          <t>Chekhov in my life / [by] Lydia Avilov. Translated with an introd. by David Magarshack. With drawings by Lynton Lamb.</t>
        </is>
      </c>
      <c r="F273" t="inlineStr">
        <is>
          <t>No</t>
        </is>
      </c>
      <c r="G273" t="inlineStr">
        <is>
          <t>1</t>
        </is>
      </c>
      <c r="H273" t="inlineStr">
        <is>
          <t>No</t>
        </is>
      </c>
      <c r="I273" t="inlineStr">
        <is>
          <t>No</t>
        </is>
      </c>
      <c r="J273" t="inlineStr">
        <is>
          <t>0</t>
        </is>
      </c>
      <c r="K273" t="inlineStr">
        <is>
          <t>Avilova, L. A. (Lidii͡a Alekseevna), 1864-1943.</t>
        </is>
      </c>
      <c r="L273" t="inlineStr">
        <is>
          <t>Westport, Conn. : Greenwood Press, [1971, c1950]</t>
        </is>
      </c>
      <c r="M273" t="inlineStr">
        <is>
          <t>1971</t>
        </is>
      </c>
      <c r="O273" t="inlineStr">
        <is>
          <t>eng</t>
        </is>
      </c>
      <c r="P273" t="inlineStr">
        <is>
          <t>ctu</t>
        </is>
      </c>
      <c r="R273" t="inlineStr">
        <is>
          <t xml:space="preserve">PG </t>
        </is>
      </c>
      <c r="S273" t="n">
        <v>2</v>
      </c>
      <c r="T273" t="n">
        <v>2</v>
      </c>
      <c r="U273" t="inlineStr">
        <is>
          <t>1996-08-29</t>
        </is>
      </c>
      <c r="V273" t="inlineStr">
        <is>
          <t>1996-08-29</t>
        </is>
      </c>
      <c r="W273" t="inlineStr">
        <is>
          <t>1996-02-01</t>
        </is>
      </c>
      <c r="X273" t="inlineStr">
        <is>
          <t>1996-02-01</t>
        </is>
      </c>
      <c r="Y273" t="n">
        <v>178</v>
      </c>
      <c r="Z273" t="n">
        <v>158</v>
      </c>
      <c r="AA273" t="n">
        <v>530</v>
      </c>
      <c r="AB273" t="n">
        <v>2</v>
      </c>
      <c r="AC273" t="n">
        <v>3</v>
      </c>
      <c r="AD273" t="n">
        <v>9</v>
      </c>
      <c r="AE273" t="n">
        <v>21</v>
      </c>
      <c r="AF273" t="n">
        <v>1</v>
      </c>
      <c r="AG273" t="n">
        <v>6</v>
      </c>
      <c r="AH273" t="n">
        <v>4</v>
      </c>
      <c r="AI273" t="n">
        <v>7</v>
      </c>
      <c r="AJ273" t="n">
        <v>6</v>
      </c>
      <c r="AK273" t="n">
        <v>10</v>
      </c>
      <c r="AL273" t="n">
        <v>1</v>
      </c>
      <c r="AM273" t="n">
        <v>2</v>
      </c>
      <c r="AN273" t="n">
        <v>0</v>
      </c>
      <c r="AO273" t="n">
        <v>0</v>
      </c>
      <c r="AP273" t="inlineStr">
        <is>
          <t>No</t>
        </is>
      </c>
      <c r="AQ273" t="inlineStr">
        <is>
          <t>Yes</t>
        </is>
      </c>
      <c r="AR273">
        <f>HYPERLINK("http://catalog.hathitrust.org/Record/004431494","HathiTrust Record")</f>
        <v/>
      </c>
      <c r="AS273">
        <f>HYPERLINK("https://creighton-primo.hosted.exlibrisgroup.com/primo-explore/search?tab=default_tab&amp;search_scope=EVERYTHING&amp;vid=01CRU&amp;lang=en_US&amp;offset=0&amp;query=any,contains,991001908799702656","Catalog Record")</f>
        <v/>
      </c>
      <c r="AT273">
        <f>HYPERLINK("http://www.worldcat.org/oclc/241577","WorldCat Record")</f>
        <v/>
      </c>
      <c r="AU273" t="inlineStr">
        <is>
          <t>1090111866:eng</t>
        </is>
      </c>
      <c r="AV273" t="inlineStr">
        <is>
          <t>241577</t>
        </is>
      </c>
      <c r="AW273" t="inlineStr">
        <is>
          <t>991001908799702656</t>
        </is>
      </c>
      <c r="AX273" t="inlineStr">
        <is>
          <t>991001908799702656</t>
        </is>
      </c>
      <c r="AY273" t="inlineStr">
        <is>
          <t>2269960930002656</t>
        </is>
      </c>
      <c r="AZ273" t="inlineStr">
        <is>
          <t>BOOK</t>
        </is>
      </c>
      <c r="BB273" t="inlineStr">
        <is>
          <t>9780837155517</t>
        </is>
      </c>
      <c r="BC273" t="inlineStr">
        <is>
          <t>32285002126786</t>
        </is>
      </c>
      <c r="BD273" t="inlineStr">
        <is>
          <t>893328447</t>
        </is>
      </c>
    </row>
    <row r="274">
      <c r="A274" t="inlineStr">
        <is>
          <t>No</t>
        </is>
      </c>
      <c r="B274" t="inlineStr">
        <is>
          <t>PG3458 .B37 2005</t>
        </is>
      </c>
      <c r="C274" t="inlineStr">
        <is>
          <t>0                      PG 3458000B  37          2005</t>
        </is>
      </c>
      <c r="D274" t="inlineStr">
        <is>
          <t>Chekhov : scenes from a life / Rosamund Bartlett.</t>
        </is>
      </c>
      <c r="F274" t="inlineStr">
        <is>
          <t>No</t>
        </is>
      </c>
      <c r="G274" t="inlineStr">
        <is>
          <t>1</t>
        </is>
      </c>
      <c r="H274" t="inlineStr">
        <is>
          <t>No</t>
        </is>
      </c>
      <c r="I274" t="inlineStr">
        <is>
          <t>No</t>
        </is>
      </c>
      <c r="J274" t="inlineStr">
        <is>
          <t>0</t>
        </is>
      </c>
      <c r="K274" t="inlineStr">
        <is>
          <t>Bartlett, Rosamund.</t>
        </is>
      </c>
      <c r="L274" t="inlineStr">
        <is>
          <t>New York ; London : Free Press, 2005.</t>
        </is>
      </c>
      <c r="M274" t="inlineStr">
        <is>
          <t>2005</t>
        </is>
      </c>
      <c r="O274" t="inlineStr">
        <is>
          <t>eng</t>
        </is>
      </c>
      <c r="P274" t="inlineStr">
        <is>
          <t>nyu</t>
        </is>
      </c>
      <c r="R274" t="inlineStr">
        <is>
          <t xml:space="preserve">PG </t>
        </is>
      </c>
      <c r="S274" t="n">
        <v>1</v>
      </c>
      <c r="T274" t="n">
        <v>1</v>
      </c>
      <c r="U274" t="inlineStr">
        <is>
          <t>2006-06-20</t>
        </is>
      </c>
      <c r="V274" t="inlineStr">
        <is>
          <t>2006-06-20</t>
        </is>
      </c>
      <c r="W274" t="inlineStr">
        <is>
          <t>2006-02-07</t>
        </is>
      </c>
      <c r="X274" t="inlineStr">
        <is>
          <t>2006-02-07</t>
        </is>
      </c>
      <c r="Y274" t="n">
        <v>317</v>
      </c>
      <c r="Z274" t="n">
        <v>282</v>
      </c>
      <c r="AA274" t="n">
        <v>350</v>
      </c>
      <c r="AB274" t="n">
        <v>3</v>
      </c>
      <c r="AC274" t="n">
        <v>3</v>
      </c>
      <c r="AD274" t="n">
        <v>6</v>
      </c>
      <c r="AE274" t="n">
        <v>8</v>
      </c>
      <c r="AF274" t="n">
        <v>3</v>
      </c>
      <c r="AG274" t="n">
        <v>3</v>
      </c>
      <c r="AH274" t="n">
        <v>2</v>
      </c>
      <c r="AI274" t="n">
        <v>3</v>
      </c>
      <c r="AJ274" t="n">
        <v>4</v>
      </c>
      <c r="AK274" t="n">
        <v>6</v>
      </c>
      <c r="AL274" t="n">
        <v>0</v>
      </c>
      <c r="AM274" t="n">
        <v>0</v>
      </c>
      <c r="AN274" t="n">
        <v>0</v>
      </c>
      <c r="AO274" t="n">
        <v>0</v>
      </c>
      <c r="AP274" t="inlineStr">
        <is>
          <t>No</t>
        </is>
      </c>
      <c r="AQ274" t="inlineStr">
        <is>
          <t>Yes</t>
        </is>
      </c>
      <c r="AR274">
        <f>HYPERLINK("http://catalog.hathitrust.org/Record/007047692","HathiTrust Record")</f>
        <v/>
      </c>
      <c r="AS274">
        <f>HYPERLINK("https://creighton-primo.hosted.exlibrisgroup.com/primo-explore/search?tab=default_tab&amp;search_scope=EVERYTHING&amp;vid=01CRU&amp;lang=en_US&amp;offset=0&amp;query=any,contains,991004734319702656","Catalog Record")</f>
        <v/>
      </c>
      <c r="AT274">
        <f>HYPERLINK("http://www.worldcat.org/oclc/65211588","WorldCat Record")</f>
        <v/>
      </c>
      <c r="AU274" t="inlineStr">
        <is>
          <t>221731:eng</t>
        </is>
      </c>
      <c r="AV274" t="inlineStr">
        <is>
          <t>65211588</t>
        </is>
      </c>
      <c r="AW274" t="inlineStr">
        <is>
          <t>991004734319702656</t>
        </is>
      </c>
      <c r="AX274" t="inlineStr">
        <is>
          <t>991004734319702656</t>
        </is>
      </c>
      <c r="AY274" t="inlineStr">
        <is>
          <t>2261707140002656</t>
        </is>
      </c>
      <c r="AZ274" t="inlineStr">
        <is>
          <t>BOOK</t>
        </is>
      </c>
      <c r="BB274" t="inlineStr">
        <is>
          <t>9780743230759</t>
        </is>
      </c>
      <c r="BC274" t="inlineStr">
        <is>
          <t>32285005191605</t>
        </is>
      </c>
      <c r="BD274" t="inlineStr">
        <is>
          <t>893612706</t>
        </is>
      </c>
    </row>
    <row r="275">
      <c r="A275" t="inlineStr">
        <is>
          <t>No</t>
        </is>
      </c>
      <c r="B275" t="inlineStr">
        <is>
          <t>PG3458 .C54</t>
        </is>
      </c>
      <c r="C275" t="inlineStr">
        <is>
          <t>0                      PG 3458000C  54</t>
        </is>
      </c>
      <c r="D275" t="inlineStr">
        <is>
          <t>Chekhov : the critical heritage / edited by Victor Emeljanow.</t>
        </is>
      </c>
      <c r="F275" t="inlineStr">
        <is>
          <t>No</t>
        </is>
      </c>
      <c r="G275" t="inlineStr">
        <is>
          <t>1</t>
        </is>
      </c>
      <c r="H275" t="inlineStr">
        <is>
          <t>No</t>
        </is>
      </c>
      <c r="I275" t="inlineStr">
        <is>
          <t>No</t>
        </is>
      </c>
      <c r="J275" t="inlineStr">
        <is>
          <t>0</t>
        </is>
      </c>
      <c r="L275" t="inlineStr">
        <is>
          <t>London ; Boston : Routledge &amp; Kegan Paul, 1981.</t>
        </is>
      </c>
      <c r="M275" t="inlineStr">
        <is>
          <t>1981</t>
        </is>
      </c>
      <c r="O275" t="inlineStr">
        <is>
          <t>eng</t>
        </is>
      </c>
      <c r="P275" t="inlineStr">
        <is>
          <t>enk</t>
        </is>
      </c>
      <c r="Q275" t="inlineStr">
        <is>
          <t>The critical heritage series</t>
        </is>
      </c>
      <c r="R275" t="inlineStr">
        <is>
          <t xml:space="preserve">PG </t>
        </is>
      </c>
      <c r="S275" t="n">
        <v>4</v>
      </c>
      <c r="T275" t="n">
        <v>4</v>
      </c>
      <c r="U275" t="inlineStr">
        <is>
          <t>1994-08-16</t>
        </is>
      </c>
      <c r="V275" t="inlineStr">
        <is>
          <t>1994-08-16</t>
        </is>
      </c>
      <c r="W275" t="inlineStr">
        <is>
          <t>1990-06-15</t>
        </is>
      </c>
      <c r="X275" t="inlineStr">
        <is>
          <t>1990-06-15</t>
        </is>
      </c>
      <c r="Y275" t="n">
        <v>550</v>
      </c>
      <c r="Z275" t="n">
        <v>355</v>
      </c>
      <c r="AA275" t="n">
        <v>361</v>
      </c>
      <c r="AB275" t="n">
        <v>4</v>
      </c>
      <c r="AC275" t="n">
        <v>4</v>
      </c>
      <c r="AD275" t="n">
        <v>15</v>
      </c>
      <c r="AE275" t="n">
        <v>15</v>
      </c>
      <c r="AF275" t="n">
        <v>4</v>
      </c>
      <c r="AG275" t="n">
        <v>4</v>
      </c>
      <c r="AH275" t="n">
        <v>4</v>
      </c>
      <c r="AI275" t="n">
        <v>4</v>
      </c>
      <c r="AJ275" t="n">
        <v>8</v>
      </c>
      <c r="AK275" t="n">
        <v>8</v>
      </c>
      <c r="AL275" t="n">
        <v>3</v>
      </c>
      <c r="AM275" t="n">
        <v>3</v>
      </c>
      <c r="AN275" t="n">
        <v>0</v>
      </c>
      <c r="AO275" t="n">
        <v>0</v>
      </c>
      <c r="AP275" t="inlineStr">
        <is>
          <t>No</t>
        </is>
      </c>
      <c r="AQ275" t="inlineStr">
        <is>
          <t>Yes</t>
        </is>
      </c>
      <c r="AR275">
        <f>HYPERLINK("http://catalog.hathitrust.org/Record/007117739","HathiTrust Record")</f>
        <v/>
      </c>
      <c r="AS275">
        <f>HYPERLINK("https://creighton-primo.hosted.exlibrisgroup.com/primo-explore/search?tab=default_tab&amp;search_scope=EVERYTHING&amp;vid=01CRU&amp;lang=en_US&amp;offset=0&amp;query=any,contains,991005090709702656","Catalog Record")</f>
        <v/>
      </c>
      <c r="AT275">
        <f>HYPERLINK("http://www.worldcat.org/oclc/7212015","WorldCat Record")</f>
        <v/>
      </c>
      <c r="AU275" t="inlineStr">
        <is>
          <t>906889243:eng</t>
        </is>
      </c>
      <c r="AV275" t="inlineStr">
        <is>
          <t>7212015</t>
        </is>
      </c>
      <c r="AW275" t="inlineStr">
        <is>
          <t>991005090709702656</t>
        </is>
      </c>
      <c r="AX275" t="inlineStr">
        <is>
          <t>991005090709702656</t>
        </is>
      </c>
      <c r="AY275" t="inlineStr">
        <is>
          <t>2260692820002656</t>
        </is>
      </c>
      <c r="AZ275" t="inlineStr">
        <is>
          <t>BOOK</t>
        </is>
      </c>
      <c r="BB275" t="inlineStr">
        <is>
          <t>9780710003744</t>
        </is>
      </c>
      <c r="BC275" t="inlineStr">
        <is>
          <t>32285000197623</t>
        </is>
      </c>
      <c r="BD275" t="inlineStr">
        <is>
          <t>893353679</t>
        </is>
      </c>
    </row>
    <row r="276">
      <c r="A276" t="inlineStr">
        <is>
          <t>No</t>
        </is>
      </c>
      <c r="B276" t="inlineStr">
        <is>
          <t>PG3458 .G4913 1968</t>
        </is>
      </c>
      <c r="C276" t="inlineStr">
        <is>
          <t>0                      PG 3458000G  4913        1968</t>
        </is>
      </c>
      <c r="D276" t="inlineStr">
        <is>
          <t>Chekhov, observer without illusion / Daniel Gillès. Translated by Charles Lam Markmann.</t>
        </is>
      </c>
      <c r="F276" t="inlineStr">
        <is>
          <t>No</t>
        </is>
      </c>
      <c r="G276" t="inlineStr">
        <is>
          <t>1</t>
        </is>
      </c>
      <c r="H276" t="inlineStr">
        <is>
          <t>No</t>
        </is>
      </c>
      <c r="I276" t="inlineStr">
        <is>
          <t>No</t>
        </is>
      </c>
      <c r="J276" t="inlineStr">
        <is>
          <t>0</t>
        </is>
      </c>
      <c r="K276" t="inlineStr">
        <is>
          <t>Gillès, Daniel, 1917-1981.</t>
        </is>
      </c>
      <c r="L276" t="inlineStr">
        <is>
          <t>New York : Funk &amp; Wagnalls, [1968]</t>
        </is>
      </c>
      <c r="M276" t="inlineStr">
        <is>
          <t>1968</t>
        </is>
      </c>
      <c r="O276" t="inlineStr">
        <is>
          <t>eng</t>
        </is>
      </c>
      <c r="P276" t="inlineStr">
        <is>
          <t>nyu</t>
        </is>
      </c>
      <c r="R276" t="inlineStr">
        <is>
          <t xml:space="preserve">PG </t>
        </is>
      </c>
      <c r="S276" t="n">
        <v>4</v>
      </c>
      <c r="T276" t="n">
        <v>4</v>
      </c>
      <c r="U276" t="inlineStr">
        <is>
          <t>2003-01-26</t>
        </is>
      </c>
      <c r="V276" t="inlineStr">
        <is>
          <t>2003-01-26</t>
        </is>
      </c>
      <c r="W276" t="inlineStr">
        <is>
          <t>1991-12-13</t>
        </is>
      </c>
      <c r="X276" t="inlineStr">
        <is>
          <t>1991-12-13</t>
        </is>
      </c>
      <c r="Y276" t="n">
        <v>678</v>
      </c>
      <c r="Z276" t="n">
        <v>633</v>
      </c>
      <c r="AA276" t="n">
        <v>640</v>
      </c>
      <c r="AB276" t="n">
        <v>6</v>
      </c>
      <c r="AC276" t="n">
        <v>6</v>
      </c>
      <c r="AD276" t="n">
        <v>27</v>
      </c>
      <c r="AE276" t="n">
        <v>27</v>
      </c>
      <c r="AF276" t="n">
        <v>11</v>
      </c>
      <c r="AG276" t="n">
        <v>11</v>
      </c>
      <c r="AH276" t="n">
        <v>6</v>
      </c>
      <c r="AI276" t="n">
        <v>6</v>
      </c>
      <c r="AJ276" t="n">
        <v>13</v>
      </c>
      <c r="AK276" t="n">
        <v>13</v>
      </c>
      <c r="AL276" t="n">
        <v>4</v>
      </c>
      <c r="AM276" t="n">
        <v>4</v>
      </c>
      <c r="AN276" t="n">
        <v>0</v>
      </c>
      <c r="AO276" t="n">
        <v>0</v>
      </c>
      <c r="AP276" t="inlineStr">
        <is>
          <t>No</t>
        </is>
      </c>
      <c r="AQ276" t="inlineStr">
        <is>
          <t>Yes</t>
        </is>
      </c>
      <c r="AR276">
        <f>HYPERLINK("http://catalog.hathitrust.org/Record/000980878","HathiTrust Record")</f>
        <v/>
      </c>
      <c r="AS276">
        <f>HYPERLINK("https://creighton-primo.hosted.exlibrisgroup.com/primo-explore/search?tab=default_tab&amp;search_scope=EVERYTHING&amp;vid=01CRU&amp;lang=en_US&amp;offset=0&amp;query=any,contains,991005433319702656","Catalog Record")</f>
        <v/>
      </c>
      <c r="AT276">
        <f>HYPERLINK("http://www.worldcat.org/oclc/1748","WorldCat Record")</f>
        <v/>
      </c>
      <c r="AU276" t="inlineStr">
        <is>
          <t>27543206:eng</t>
        </is>
      </c>
      <c r="AV276" t="inlineStr">
        <is>
          <t>1748</t>
        </is>
      </c>
      <c r="AW276" t="inlineStr">
        <is>
          <t>991005433319702656</t>
        </is>
      </c>
      <c r="AX276" t="inlineStr">
        <is>
          <t>991005433319702656</t>
        </is>
      </c>
      <c r="AY276" t="inlineStr">
        <is>
          <t>2271293440002656</t>
        </is>
      </c>
      <c r="AZ276" t="inlineStr">
        <is>
          <t>BOOK</t>
        </is>
      </c>
      <c r="BC276" t="inlineStr">
        <is>
          <t>32285000890896</t>
        </is>
      </c>
      <c r="BD276" t="inlineStr">
        <is>
          <t>893521196</t>
        </is>
      </c>
    </row>
    <row r="277">
      <c r="A277" t="inlineStr">
        <is>
          <t>No</t>
        </is>
      </c>
      <c r="B277" t="inlineStr">
        <is>
          <t>PG3458 .P75 1988</t>
        </is>
      </c>
      <c r="C277" t="inlineStr">
        <is>
          <t>0                      PG 3458000P  75          1988</t>
        </is>
      </c>
      <c r="D277" t="inlineStr">
        <is>
          <t>Chekhov : a spirit set free / by V.S. Pritchett.</t>
        </is>
      </c>
      <c r="F277" t="inlineStr">
        <is>
          <t>No</t>
        </is>
      </c>
      <c r="G277" t="inlineStr">
        <is>
          <t>1</t>
        </is>
      </c>
      <c r="H277" t="inlineStr">
        <is>
          <t>No</t>
        </is>
      </c>
      <c r="I277" t="inlineStr">
        <is>
          <t>No</t>
        </is>
      </c>
      <c r="J277" t="inlineStr">
        <is>
          <t>0</t>
        </is>
      </c>
      <c r="K277" t="inlineStr">
        <is>
          <t>Pritchett, V. S. (Victor Sawdon), 1900-1997.</t>
        </is>
      </c>
      <c r="L277" t="inlineStr">
        <is>
          <t>New York : Random House, 1988.</t>
        </is>
      </c>
      <c r="M277" t="inlineStr">
        <is>
          <t>1988</t>
        </is>
      </c>
      <c r="O277" t="inlineStr">
        <is>
          <t>eng</t>
        </is>
      </c>
      <c r="P277" t="inlineStr">
        <is>
          <t>nyu</t>
        </is>
      </c>
      <c r="R277" t="inlineStr">
        <is>
          <t xml:space="preserve">PG </t>
        </is>
      </c>
      <c r="S277" t="n">
        <v>2</v>
      </c>
      <c r="T277" t="n">
        <v>2</v>
      </c>
      <c r="U277" t="inlineStr">
        <is>
          <t>1994-08-16</t>
        </is>
      </c>
      <c r="V277" t="inlineStr">
        <is>
          <t>1994-08-16</t>
        </is>
      </c>
      <c r="W277" t="inlineStr">
        <is>
          <t>1992-03-10</t>
        </is>
      </c>
      <c r="X277" t="inlineStr">
        <is>
          <t>1992-03-10</t>
        </is>
      </c>
      <c r="Y277" t="n">
        <v>980</v>
      </c>
      <c r="Z277" t="n">
        <v>907</v>
      </c>
      <c r="AA277" t="n">
        <v>1004</v>
      </c>
      <c r="AB277" t="n">
        <v>5</v>
      </c>
      <c r="AC277" t="n">
        <v>6</v>
      </c>
      <c r="AD277" t="n">
        <v>29</v>
      </c>
      <c r="AE277" t="n">
        <v>34</v>
      </c>
      <c r="AF277" t="n">
        <v>10</v>
      </c>
      <c r="AG277" t="n">
        <v>11</v>
      </c>
      <c r="AH277" t="n">
        <v>7</v>
      </c>
      <c r="AI277" t="n">
        <v>8</v>
      </c>
      <c r="AJ277" t="n">
        <v>15</v>
      </c>
      <c r="AK277" t="n">
        <v>18</v>
      </c>
      <c r="AL277" t="n">
        <v>3</v>
      </c>
      <c r="AM277" t="n">
        <v>4</v>
      </c>
      <c r="AN277" t="n">
        <v>0</v>
      </c>
      <c r="AO277" t="n">
        <v>0</v>
      </c>
      <c r="AP277" t="inlineStr">
        <is>
          <t>No</t>
        </is>
      </c>
      <c r="AQ277" t="inlineStr">
        <is>
          <t>Yes</t>
        </is>
      </c>
      <c r="AR277">
        <f>HYPERLINK("http://catalog.hathitrust.org/Record/001096220","HathiTrust Record")</f>
        <v/>
      </c>
      <c r="AS277">
        <f>HYPERLINK("https://creighton-primo.hosted.exlibrisgroup.com/primo-explore/search?tab=default_tab&amp;search_scope=EVERYTHING&amp;vid=01CRU&amp;lang=en_US&amp;offset=0&amp;query=any,contains,991001339049702656","Catalog Record")</f>
        <v/>
      </c>
      <c r="AT277">
        <f>HYPERLINK("http://www.worldcat.org/oclc/18379530","WorldCat Record")</f>
        <v/>
      </c>
      <c r="AU277" t="inlineStr">
        <is>
          <t>196067765:eng</t>
        </is>
      </c>
      <c r="AV277" t="inlineStr">
        <is>
          <t>18379530</t>
        </is>
      </c>
      <c r="AW277" t="inlineStr">
        <is>
          <t>991001339049702656</t>
        </is>
      </c>
      <c r="AX277" t="inlineStr">
        <is>
          <t>991001339049702656</t>
        </is>
      </c>
      <c r="AY277" t="inlineStr">
        <is>
          <t>2269701230002656</t>
        </is>
      </c>
      <c r="AZ277" t="inlineStr">
        <is>
          <t>BOOK</t>
        </is>
      </c>
      <c r="BB277" t="inlineStr">
        <is>
          <t>9780394546506</t>
        </is>
      </c>
      <c r="BC277" t="inlineStr">
        <is>
          <t>32285001000883</t>
        </is>
      </c>
      <c r="BD277" t="inlineStr">
        <is>
          <t>893690541</t>
        </is>
      </c>
    </row>
    <row r="278">
      <c r="A278" t="inlineStr">
        <is>
          <t>No</t>
        </is>
      </c>
      <c r="B278" t="inlineStr">
        <is>
          <t>PG3458 .S5 1970</t>
        </is>
      </c>
      <c r="C278" t="inlineStr">
        <is>
          <t>0                      PG 3458000S  5           1970</t>
        </is>
      </c>
      <c r="D278" t="inlineStr">
        <is>
          <t>Chekhov : a biography / by Ernest J. Simmons.</t>
        </is>
      </c>
      <c r="F278" t="inlineStr">
        <is>
          <t>No</t>
        </is>
      </c>
      <c r="G278" t="inlineStr">
        <is>
          <t>1</t>
        </is>
      </c>
      <c r="H278" t="inlineStr">
        <is>
          <t>No</t>
        </is>
      </c>
      <c r="I278" t="inlineStr">
        <is>
          <t>No</t>
        </is>
      </c>
      <c r="J278" t="inlineStr">
        <is>
          <t>0</t>
        </is>
      </c>
      <c r="K278" t="inlineStr">
        <is>
          <t>Simmons, Ernest J. (Ernest Joseph), 1903-1972.</t>
        </is>
      </c>
      <c r="L278" t="inlineStr">
        <is>
          <t>Chicago : University of Chicago Press, [1970, c1962]</t>
        </is>
      </c>
      <c r="M278" t="inlineStr">
        <is>
          <t>1970</t>
        </is>
      </c>
      <c r="O278" t="inlineStr">
        <is>
          <t>eng</t>
        </is>
      </c>
      <c r="P278" t="inlineStr">
        <is>
          <t>ilu</t>
        </is>
      </c>
      <c r="R278" t="inlineStr">
        <is>
          <t xml:space="preserve">PG </t>
        </is>
      </c>
      <c r="S278" t="n">
        <v>4</v>
      </c>
      <c r="T278" t="n">
        <v>4</v>
      </c>
      <c r="U278" t="inlineStr">
        <is>
          <t>1994-08-16</t>
        </is>
      </c>
      <c r="V278" t="inlineStr">
        <is>
          <t>1994-08-16</t>
        </is>
      </c>
      <c r="W278" t="inlineStr">
        <is>
          <t>1991-12-10</t>
        </is>
      </c>
      <c r="X278" t="inlineStr">
        <is>
          <t>1991-12-10</t>
        </is>
      </c>
      <c r="Y278" t="n">
        <v>259</v>
      </c>
      <c r="Z278" t="n">
        <v>205</v>
      </c>
      <c r="AA278" t="n">
        <v>1343</v>
      </c>
      <c r="AB278" t="n">
        <v>1</v>
      </c>
      <c r="AC278" t="n">
        <v>10</v>
      </c>
      <c r="AD278" t="n">
        <v>8</v>
      </c>
      <c r="AE278" t="n">
        <v>45</v>
      </c>
      <c r="AF278" t="n">
        <v>3</v>
      </c>
      <c r="AG278" t="n">
        <v>17</v>
      </c>
      <c r="AH278" t="n">
        <v>2</v>
      </c>
      <c r="AI278" t="n">
        <v>8</v>
      </c>
      <c r="AJ278" t="n">
        <v>6</v>
      </c>
      <c r="AK278" t="n">
        <v>22</v>
      </c>
      <c r="AL278" t="n">
        <v>0</v>
      </c>
      <c r="AM278" t="n">
        <v>8</v>
      </c>
      <c r="AN278" t="n">
        <v>0</v>
      </c>
      <c r="AO278" t="n">
        <v>0</v>
      </c>
      <c r="AP278" t="inlineStr">
        <is>
          <t>No</t>
        </is>
      </c>
      <c r="AQ278" t="inlineStr">
        <is>
          <t>No</t>
        </is>
      </c>
      <c r="AS278">
        <f>HYPERLINK("https://creighton-primo.hosted.exlibrisgroup.com/primo-explore/search?tab=default_tab&amp;search_scope=EVERYTHING&amp;vid=01CRU&amp;lang=en_US&amp;offset=0&amp;query=any,contains,991003141599702656","Catalog Record")</f>
        <v/>
      </c>
      <c r="AT278">
        <f>HYPERLINK("http://www.worldcat.org/oclc/682992","WorldCat Record")</f>
        <v/>
      </c>
      <c r="AU278" t="inlineStr">
        <is>
          <t>4757708780:eng</t>
        </is>
      </c>
      <c r="AV278" t="inlineStr">
        <is>
          <t>682992</t>
        </is>
      </c>
      <c r="AW278" t="inlineStr">
        <is>
          <t>991003141599702656</t>
        </is>
      </c>
      <c r="AX278" t="inlineStr">
        <is>
          <t>991003141599702656</t>
        </is>
      </c>
      <c r="AY278" t="inlineStr">
        <is>
          <t>2262624090002656</t>
        </is>
      </c>
      <c r="AZ278" t="inlineStr">
        <is>
          <t>BOOK</t>
        </is>
      </c>
      <c r="BB278" t="inlineStr">
        <is>
          <t>9780226758053</t>
        </is>
      </c>
      <c r="BC278" t="inlineStr">
        <is>
          <t>32285000875293</t>
        </is>
      </c>
      <c r="BD278" t="inlineStr">
        <is>
          <t>893258099</t>
        </is>
      </c>
    </row>
    <row r="279">
      <c r="A279" t="inlineStr">
        <is>
          <t>No</t>
        </is>
      </c>
      <c r="B279" t="inlineStr">
        <is>
          <t>PG3458 .T6 1960</t>
        </is>
      </c>
      <c r="C279" t="inlineStr">
        <is>
          <t>0                      PG 3458000T  6           1960</t>
        </is>
      </c>
      <c r="D279" t="inlineStr">
        <is>
          <t>Anton Chekhov : the voice of twilight Russia / by Princess Nina Andronikova Toumanova.</t>
        </is>
      </c>
      <c r="F279" t="inlineStr">
        <is>
          <t>No</t>
        </is>
      </c>
      <c r="G279" t="inlineStr">
        <is>
          <t>1</t>
        </is>
      </c>
      <c r="H279" t="inlineStr">
        <is>
          <t>No</t>
        </is>
      </c>
      <c r="I279" t="inlineStr">
        <is>
          <t>No</t>
        </is>
      </c>
      <c r="J279" t="inlineStr">
        <is>
          <t>0</t>
        </is>
      </c>
      <c r="K279" t="inlineStr">
        <is>
          <t>Toumanova, Nina Andronikova, 1888-</t>
        </is>
      </c>
      <c r="L279" t="inlineStr">
        <is>
          <t>New York : Columbia University Press, 1960, c1937.</t>
        </is>
      </c>
      <c r="M279" t="inlineStr">
        <is>
          <t>1960</t>
        </is>
      </c>
      <c r="N279" t="inlineStr">
        <is>
          <t>Columbia pbk. ed.</t>
        </is>
      </c>
      <c r="O279" t="inlineStr">
        <is>
          <t>eng</t>
        </is>
      </c>
      <c r="P279" t="inlineStr">
        <is>
          <t>nyu</t>
        </is>
      </c>
      <c r="Q279" t="inlineStr">
        <is>
          <t>Columbia paperback</t>
        </is>
      </c>
      <c r="R279" t="inlineStr">
        <is>
          <t xml:space="preserve">PG </t>
        </is>
      </c>
      <c r="S279" t="n">
        <v>1</v>
      </c>
      <c r="T279" t="n">
        <v>1</v>
      </c>
      <c r="U279" t="inlineStr">
        <is>
          <t>2000-12-08</t>
        </is>
      </c>
      <c r="V279" t="inlineStr">
        <is>
          <t>2000-12-08</t>
        </is>
      </c>
      <c r="W279" t="inlineStr">
        <is>
          <t>1992-01-02</t>
        </is>
      </c>
      <c r="X279" t="inlineStr">
        <is>
          <t>1992-01-02</t>
        </is>
      </c>
      <c r="Y279" t="n">
        <v>419</v>
      </c>
      <c r="Z279" t="n">
        <v>397</v>
      </c>
      <c r="AA279" t="n">
        <v>808</v>
      </c>
      <c r="AB279" t="n">
        <v>5</v>
      </c>
      <c r="AC279" t="n">
        <v>8</v>
      </c>
      <c r="AD279" t="n">
        <v>22</v>
      </c>
      <c r="AE279" t="n">
        <v>38</v>
      </c>
      <c r="AF279" t="n">
        <v>9</v>
      </c>
      <c r="AG279" t="n">
        <v>15</v>
      </c>
      <c r="AH279" t="n">
        <v>4</v>
      </c>
      <c r="AI279" t="n">
        <v>8</v>
      </c>
      <c r="AJ279" t="n">
        <v>7</v>
      </c>
      <c r="AK279" t="n">
        <v>17</v>
      </c>
      <c r="AL279" t="n">
        <v>4</v>
      </c>
      <c r="AM279" t="n">
        <v>6</v>
      </c>
      <c r="AN279" t="n">
        <v>0</v>
      </c>
      <c r="AO279" t="n">
        <v>0</v>
      </c>
      <c r="AP279" t="inlineStr">
        <is>
          <t>No</t>
        </is>
      </c>
      <c r="AQ279" t="inlineStr">
        <is>
          <t>Yes</t>
        </is>
      </c>
      <c r="AR279">
        <f>HYPERLINK("http://catalog.hathitrust.org/Record/009913047","HathiTrust Record")</f>
        <v/>
      </c>
      <c r="AS279">
        <f>HYPERLINK("https://creighton-primo.hosted.exlibrisgroup.com/primo-explore/search?tab=default_tab&amp;search_scope=EVERYTHING&amp;vid=01CRU&amp;lang=en_US&amp;offset=0&amp;query=any,contains,991001151869702656","Catalog Record")</f>
        <v/>
      </c>
      <c r="AT279">
        <f>HYPERLINK("http://www.worldcat.org/oclc/16819583","WorldCat Record")</f>
        <v/>
      </c>
      <c r="AU279" t="inlineStr">
        <is>
          <t>36580311:eng</t>
        </is>
      </c>
      <c r="AV279" t="inlineStr">
        <is>
          <t>16819583</t>
        </is>
      </c>
      <c r="AW279" t="inlineStr">
        <is>
          <t>991001151869702656</t>
        </is>
      </c>
      <c r="AX279" t="inlineStr">
        <is>
          <t>991001151869702656</t>
        </is>
      </c>
      <c r="AY279" t="inlineStr">
        <is>
          <t>2272750580002656</t>
        </is>
      </c>
      <c r="AZ279" t="inlineStr">
        <is>
          <t>BOOK</t>
        </is>
      </c>
      <c r="BC279" t="inlineStr">
        <is>
          <t>32285000879972</t>
        </is>
      </c>
      <c r="BD279" t="inlineStr">
        <is>
          <t>893340194</t>
        </is>
      </c>
    </row>
    <row r="280">
      <c r="A280" t="inlineStr">
        <is>
          <t>No</t>
        </is>
      </c>
      <c r="B280" t="inlineStr">
        <is>
          <t>PG3458 .T7613 1986</t>
        </is>
      </c>
      <c r="C280" t="inlineStr">
        <is>
          <t>0                      PG 3458000T  7613        1986</t>
        </is>
      </c>
      <c r="D280" t="inlineStr">
        <is>
          <t>Chekhov / Henri Troyat ; translated from the French by Michael Henry Heim.</t>
        </is>
      </c>
      <c r="F280" t="inlineStr">
        <is>
          <t>No</t>
        </is>
      </c>
      <c r="G280" t="inlineStr">
        <is>
          <t>1</t>
        </is>
      </c>
      <c r="H280" t="inlineStr">
        <is>
          <t>No</t>
        </is>
      </c>
      <c r="I280" t="inlineStr">
        <is>
          <t>No</t>
        </is>
      </c>
      <c r="J280" t="inlineStr">
        <is>
          <t>0</t>
        </is>
      </c>
      <c r="K280" t="inlineStr">
        <is>
          <t>Troyat, Henri, 1911-2007.</t>
        </is>
      </c>
      <c r="L280" t="inlineStr">
        <is>
          <t>New York : Dutton, 1986.</t>
        </is>
      </c>
      <c r="M280" t="inlineStr">
        <is>
          <t>1986</t>
        </is>
      </c>
      <c r="N280" t="inlineStr">
        <is>
          <t>1st American ed.</t>
        </is>
      </c>
      <c r="O280" t="inlineStr">
        <is>
          <t>eng</t>
        </is>
      </c>
      <c r="P280" t="inlineStr">
        <is>
          <t>nyu</t>
        </is>
      </c>
      <c r="R280" t="inlineStr">
        <is>
          <t xml:space="preserve">PG </t>
        </is>
      </c>
      <c r="S280" t="n">
        <v>9</v>
      </c>
      <c r="T280" t="n">
        <v>9</v>
      </c>
      <c r="U280" t="inlineStr">
        <is>
          <t>1997-01-29</t>
        </is>
      </c>
      <c r="V280" t="inlineStr">
        <is>
          <t>1997-01-29</t>
        </is>
      </c>
      <c r="W280" t="inlineStr">
        <is>
          <t>1990-06-15</t>
        </is>
      </c>
      <c r="X280" t="inlineStr">
        <is>
          <t>1990-06-15</t>
        </is>
      </c>
      <c r="Y280" t="n">
        <v>1421</v>
      </c>
      <c r="Z280" t="n">
        <v>1343</v>
      </c>
      <c r="AA280" t="n">
        <v>1443</v>
      </c>
      <c r="AB280" t="n">
        <v>7</v>
      </c>
      <c r="AC280" t="n">
        <v>7</v>
      </c>
      <c r="AD280" t="n">
        <v>39</v>
      </c>
      <c r="AE280" t="n">
        <v>41</v>
      </c>
      <c r="AF280" t="n">
        <v>14</v>
      </c>
      <c r="AG280" t="n">
        <v>16</v>
      </c>
      <c r="AH280" t="n">
        <v>10</v>
      </c>
      <c r="AI280" t="n">
        <v>11</v>
      </c>
      <c r="AJ280" t="n">
        <v>18</v>
      </c>
      <c r="AK280" t="n">
        <v>18</v>
      </c>
      <c r="AL280" t="n">
        <v>5</v>
      </c>
      <c r="AM280" t="n">
        <v>5</v>
      </c>
      <c r="AN280" t="n">
        <v>0</v>
      </c>
      <c r="AO280" t="n">
        <v>0</v>
      </c>
      <c r="AP280" t="inlineStr">
        <is>
          <t>No</t>
        </is>
      </c>
      <c r="AQ280" t="inlineStr">
        <is>
          <t>Yes</t>
        </is>
      </c>
      <c r="AR280">
        <f>HYPERLINK("http://catalog.hathitrust.org/Record/000402145","HathiTrust Record")</f>
        <v/>
      </c>
      <c r="AS280">
        <f>HYPERLINK("https://creighton-primo.hosted.exlibrisgroup.com/primo-explore/search?tab=default_tab&amp;search_scope=EVERYTHING&amp;vid=01CRU&amp;lang=en_US&amp;offset=0&amp;query=any,contains,991000831229702656","Catalog Record")</f>
        <v/>
      </c>
      <c r="AT280">
        <f>HYPERLINK("http://www.worldcat.org/oclc/13455422","WorldCat Record")</f>
        <v/>
      </c>
      <c r="AU280" t="inlineStr">
        <is>
          <t>3901071058:eng</t>
        </is>
      </c>
      <c r="AV280" t="inlineStr">
        <is>
          <t>13455422</t>
        </is>
      </c>
      <c r="AW280" t="inlineStr">
        <is>
          <t>991000831229702656</t>
        </is>
      </c>
      <c r="AX280" t="inlineStr">
        <is>
          <t>991000831229702656</t>
        </is>
      </c>
      <c r="AY280" t="inlineStr">
        <is>
          <t>2263610270002656</t>
        </is>
      </c>
      <c r="AZ280" t="inlineStr">
        <is>
          <t>BOOK</t>
        </is>
      </c>
      <c r="BB280" t="inlineStr">
        <is>
          <t>9780525244066</t>
        </is>
      </c>
      <c r="BC280" t="inlineStr">
        <is>
          <t>32285000197649</t>
        </is>
      </c>
      <c r="BD280" t="inlineStr">
        <is>
          <t>893897259</t>
        </is>
      </c>
    </row>
    <row r="281">
      <c r="A281" t="inlineStr">
        <is>
          <t>No</t>
        </is>
      </c>
      <c r="B281" t="inlineStr">
        <is>
          <t>PG3458 .V34</t>
        </is>
      </c>
      <c r="C281" t="inlineStr">
        <is>
          <t>0                      PG 3458000V  34</t>
        </is>
      </c>
      <c r="D281" t="inlineStr">
        <is>
          <t>The breaking string : the plays of Anton Chekhov / [by] Maurice Valency.</t>
        </is>
      </c>
      <c r="F281" t="inlineStr">
        <is>
          <t>No</t>
        </is>
      </c>
      <c r="G281" t="inlineStr">
        <is>
          <t>1</t>
        </is>
      </c>
      <c r="H281" t="inlineStr">
        <is>
          <t>No</t>
        </is>
      </c>
      <c r="I281" t="inlineStr">
        <is>
          <t>No</t>
        </is>
      </c>
      <c r="J281" t="inlineStr">
        <is>
          <t>0</t>
        </is>
      </c>
      <c r="K281" t="inlineStr">
        <is>
          <t>Valency, Maurice, 1903-1996.</t>
        </is>
      </c>
      <c r="L281" t="inlineStr">
        <is>
          <t>New York : Oxford University Press, 1966.</t>
        </is>
      </c>
      <c r="M281" t="inlineStr">
        <is>
          <t>1966</t>
        </is>
      </c>
      <c r="O281" t="inlineStr">
        <is>
          <t>eng</t>
        </is>
      </c>
      <c r="P281" t="inlineStr">
        <is>
          <t>nyu</t>
        </is>
      </c>
      <c r="R281" t="inlineStr">
        <is>
          <t xml:space="preserve">PG </t>
        </is>
      </c>
      <c r="S281" t="n">
        <v>4</v>
      </c>
      <c r="T281" t="n">
        <v>4</v>
      </c>
      <c r="U281" t="inlineStr">
        <is>
          <t>2005-03-14</t>
        </is>
      </c>
      <c r="V281" t="inlineStr">
        <is>
          <t>2005-03-14</t>
        </is>
      </c>
      <c r="W281" t="inlineStr">
        <is>
          <t>1990-02-21</t>
        </is>
      </c>
      <c r="X281" t="inlineStr">
        <is>
          <t>1990-02-21</t>
        </is>
      </c>
      <c r="Y281" t="n">
        <v>1196</v>
      </c>
      <c r="Z281" t="n">
        <v>1040</v>
      </c>
      <c r="AA281" t="n">
        <v>1112</v>
      </c>
      <c r="AB281" t="n">
        <v>8</v>
      </c>
      <c r="AC281" t="n">
        <v>8</v>
      </c>
      <c r="AD281" t="n">
        <v>44</v>
      </c>
      <c r="AE281" t="n">
        <v>48</v>
      </c>
      <c r="AF281" t="n">
        <v>19</v>
      </c>
      <c r="AG281" t="n">
        <v>22</v>
      </c>
      <c r="AH281" t="n">
        <v>9</v>
      </c>
      <c r="AI281" t="n">
        <v>10</v>
      </c>
      <c r="AJ281" t="n">
        <v>21</v>
      </c>
      <c r="AK281" t="n">
        <v>21</v>
      </c>
      <c r="AL281" t="n">
        <v>7</v>
      </c>
      <c r="AM281" t="n">
        <v>7</v>
      </c>
      <c r="AN281" t="n">
        <v>0</v>
      </c>
      <c r="AO281" t="n">
        <v>0</v>
      </c>
      <c r="AP281" t="inlineStr">
        <is>
          <t>No</t>
        </is>
      </c>
      <c r="AQ281" t="inlineStr">
        <is>
          <t>Yes</t>
        </is>
      </c>
      <c r="AR281">
        <f>HYPERLINK("http://catalog.hathitrust.org/Record/001224263","HathiTrust Record")</f>
        <v/>
      </c>
      <c r="AS281">
        <f>HYPERLINK("https://creighton-primo.hosted.exlibrisgroup.com/primo-explore/search?tab=default_tab&amp;search_scope=EVERYTHING&amp;vid=01CRU&amp;lang=en_US&amp;offset=0&amp;query=any,contains,991003182989702656","Catalog Record")</f>
        <v/>
      </c>
      <c r="AT281">
        <f>HYPERLINK("http://www.worldcat.org/oclc/712186","WorldCat Record")</f>
        <v/>
      </c>
      <c r="AU281" t="inlineStr">
        <is>
          <t>317775692:eng</t>
        </is>
      </c>
      <c r="AV281" t="inlineStr">
        <is>
          <t>712186</t>
        </is>
      </c>
      <c r="AW281" t="inlineStr">
        <is>
          <t>991003182989702656</t>
        </is>
      </c>
      <c r="AX281" t="inlineStr">
        <is>
          <t>991003182989702656</t>
        </is>
      </c>
      <c r="AY281" t="inlineStr">
        <is>
          <t>2256743290002656</t>
        </is>
      </c>
      <c r="AZ281" t="inlineStr">
        <is>
          <t>BOOK</t>
        </is>
      </c>
      <c r="BC281" t="inlineStr">
        <is>
          <t>32285000043983</t>
        </is>
      </c>
      <c r="BD281" t="inlineStr">
        <is>
          <t>893348408</t>
        </is>
      </c>
    </row>
    <row r="282">
      <c r="A282" t="inlineStr">
        <is>
          <t>No</t>
        </is>
      </c>
      <c r="B282" t="inlineStr">
        <is>
          <t>PG3458 .Y33</t>
        </is>
      </c>
      <c r="C282" t="inlineStr">
        <is>
          <t>0                      PG 3458000Y  33</t>
        </is>
      </c>
      <c r="D282" t="inlineStr">
        <is>
          <t>Chekhov in English : a selective list of works by and about him, 1949-1960.</t>
        </is>
      </c>
      <c r="F282" t="inlineStr">
        <is>
          <t>No</t>
        </is>
      </c>
      <c r="G282" t="inlineStr">
        <is>
          <t>1</t>
        </is>
      </c>
      <c r="H282" t="inlineStr">
        <is>
          <t>No</t>
        </is>
      </c>
      <c r="I282" t="inlineStr">
        <is>
          <t>No</t>
        </is>
      </c>
      <c r="J282" t="inlineStr">
        <is>
          <t>0</t>
        </is>
      </c>
      <c r="K282" t="inlineStr">
        <is>
          <t>Yachnin, Rissa.</t>
        </is>
      </c>
      <c r="L282" t="inlineStr">
        <is>
          <t>New York : New York Public Library, 1960.</t>
        </is>
      </c>
      <c r="M282" t="inlineStr">
        <is>
          <t>1960</t>
        </is>
      </c>
      <c r="O282" t="inlineStr">
        <is>
          <t>eng</t>
        </is>
      </c>
      <c r="P282" t="inlineStr">
        <is>
          <t>nyu</t>
        </is>
      </c>
      <c r="R282" t="inlineStr">
        <is>
          <t xml:space="preserve">PG </t>
        </is>
      </c>
      <c r="S282" t="n">
        <v>1</v>
      </c>
      <c r="T282" t="n">
        <v>1</v>
      </c>
      <c r="U282" t="inlineStr">
        <is>
          <t>1993-11-21</t>
        </is>
      </c>
      <c r="V282" t="inlineStr">
        <is>
          <t>1993-11-21</t>
        </is>
      </c>
      <c r="W282" t="inlineStr">
        <is>
          <t>1992-01-02</t>
        </is>
      </c>
      <c r="X282" t="inlineStr">
        <is>
          <t>1992-01-02</t>
        </is>
      </c>
      <c r="Y282" t="n">
        <v>97</v>
      </c>
      <c r="Z282" t="n">
        <v>82</v>
      </c>
      <c r="AA282" t="n">
        <v>89</v>
      </c>
      <c r="AB282" t="n">
        <v>2</v>
      </c>
      <c r="AC282" t="n">
        <v>2</v>
      </c>
      <c r="AD282" t="n">
        <v>6</v>
      </c>
      <c r="AE282" t="n">
        <v>6</v>
      </c>
      <c r="AF282" t="n">
        <v>2</v>
      </c>
      <c r="AG282" t="n">
        <v>2</v>
      </c>
      <c r="AH282" t="n">
        <v>1</v>
      </c>
      <c r="AI282" t="n">
        <v>1</v>
      </c>
      <c r="AJ282" t="n">
        <v>2</v>
      </c>
      <c r="AK282" t="n">
        <v>2</v>
      </c>
      <c r="AL282" t="n">
        <v>1</v>
      </c>
      <c r="AM282" t="n">
        <v>1</v>
      </c>
      <c r="AN282" t="n">
        <v>0</v>
      </c>
      <c r="AO282" t="n">
        <v>0</v>
      </c>
      <c r="AP282" t="inlineStr">
        <is>
          <t>Yes</t>
        </is>
      </c>
      <c r="AQ282" t="inlineStr">
        <is>
          <t>No</t>
        </is>
      </c>
      <c r="AR282">
        <f>HYPERLINK("http://catalog.hathitrust.org/Record/006148881","HathiTrust Record")</f>
        <v/>
      </c>
      <c r="AS282">
        <f>HYPERLINK("https://creighton-primo.hosted.exlibrisgroup.com/primo-explore/search?tab=default_tab&amp;search_scope=EVERYTHING&amp;vid=01CRU&amp;lang=en_US&amp;offset=0&amp;query=any,contains,991004538299702656","Catalog Record")</f>
        <v/>
      </c>
      <c r="AT282">
        <f>HYPERLINK("http://www.worldcat.org/oclc/3882016","WorldCat Record")</f>
        <v/>
      </c>
      <c r="AU282" t="inlineStr">
        <is>
          <t>197769021:eng</t>
        </is>
      </c>
      <c r="AV282" t="inlineStr">
        <is>
          <t>3882016</t>
        </is>
      </c>
      <c r="AW282" t="inlineStr">
        <is>
          <t>991004538299702656</t>
        </is>
      </c>
      <c r="AX282" t="inlineStr">
        <is>
          <t>991004538299702656</t>
        </is>
      </c>
      <c r="AY282" t="inlineStr">
        <is>
          <t>2259259790002656</t>
        </is>
      </c>
      <c r="AZ282" t="inlineStr">
        <is>
          <t>BOOK</t>
        </is>
      </c>
      <c r="BC282" t="inlineStr">
        <is>
          <t>32285000879964</t>
        </is>
      </c>
      <c r="BD282" t="inlineStr">
        <is>
          <t>893526223</t>
        </is>
      </c>
    </row>
    <row r="283">
      <c r="A283" t="inlineStr">
        <is>
          <t>No</t>
        </is>
      </c>
      <c r="B283" t="inlineStr">
        <is>
          <t>PG3458.A1 J3 1967</t>
        </is>
      </c>
      <c r="C283" t="inlineStr">
        <is>
          <t>0                      PG 3458000A  1                  J  3           1967</t>
        </is>
      </c>
      <c r="D283" t="inlineStr">
        <is>
          <t>Chekhov : a collection of critical essays.</t>
        </is>
      </c>
      <c r="F283" t="inlineStr">
        <is>
          <t>No</t>
        </is>
      </c>
      <c r="G283" t="inlineStr">
        <is>
          <t>1</t>
        </is>
      </c>
      <c r="H283" t="inlineStr">
        <is>
          <t>No</t>
        </is>
      </c>
      <c r="I283" t="inlineStr">
        <is>
          <t>No</t>
        </is>
      </c>
      <c r="J283" t="inlineStr">
        <is>
          <t>0</t>
        </is>
      </c>
      <c r="K283" t="inlineStr">
        <is>
          <t>Jackson, Robert Louis compiler.</t>
        </is>
      </c>
      <c r="L283" t="inlineStr">
        <is>
          <t>Englewood Cliffs, N.J. : Prentice-Hall, [1967]</t>
        </is>
      </c>
      <c r="M283" t="inlineStr">
        <is>
          <t>1967</t>
        </is>
      </c>
      <c r="O283" t="inlineStr">
        <is>
          <t>eng</t>
        </is>
      </c>
      <c r="P283" t="inlineStr">
        <is>
          <t>nju</t>
        </is>
      </c>
      <c r="Q283" t="inlineStr">
        <is>
          <t>A Spectrum book.</t>
        </is>
      </c>
      <c r="R283" t="inlineStr">
        <is>
          <t xml:space="preserve">PG </t>
        </is>
      </c>
      <c r="S283" t="n">
        <v>7</v>
      </c>
      <c r="T283" t="n">
        <v>7</v>
      </c>
      <c r="U283" t="inlineStr">
        <is>
          <t>2000-12-14</t>
        </is>
      </c>
      <c r="V283" t="inlineStr">
        <is>
          <t>2000-12-14</t>
        </is>
      </c>
      <c r="W283" t="inlineStr">
        <is>
          <t>1990-09-18</t>
        </is>
      </c>
      <c r="X283" t="inlineStr">
        <is>
          <t>1990-09-18</t>
        </is>
      </c>
      <c r="Y283" t="n">
        <v>2140</v>
      </c>
      <c r="Z283" t="n">
        <v>1902</v>
      </c>
      <c r="AA283" t="n">
        <v>1918</v>
      </c>
      <c r="AB283" t="n">
        <v>16</v>
      </c>
      <c r="AC283" t="n">
        <v>16</v>
      </c>
      <c r="AD283" t="n">
        <v>57</v>
      </c>
      <c r="AE283" t="n">
        <v>57</v>
      </c>
      <c r="AF283" t="n">
        <v>23</v>
      </c>
      <c r="AG283" t="n">
        <v>23</v>
      </c>
      <c r="AH283" t="n">
        <v>9</v>
      </c>
      <c r="AI283" t="n">
        <v>9</v>
      </c>
      <c r="AJ283" t="n">
        <v>24</v>
      </c>
      <c r="AK283" t="n">
        <v>24</v>
      </c>
      <c r="AL283" t="n">
        <v>13</v>
      </c>
      <c r="AM283" t="n">
        <v>13</v>
      </c>
      <c r="AN283" t="n">
        <v>0</v>
      </c>
      <c r="AO283" t="n">
        <v>0</v>
      </c>
      <c r="AP283" t="inlineStr">
        <is>
          <t>No</t>
        </is>
      </c>
      <c r="AQ283" t="inlineStr">
        <is>
          <t>Yes</t>
        </is>
      </c>
      <c r="AR283">
        <f>HYPERLINK("http://catalog.hathitrust.org/Record/001224230","HathiTrust Record")</f>
        <v/>
      </c>
      <c r="AS283">
        <f>HYPERLINK("https://creighton-primo.hosted.exlibrisgroup.com/primo-explore/search?tab=default_tab&amp;search_scope=EVERYTHING&amp;vid=01CRU&amp;lang=en_US&amp;offset=0&amp;query=any,contains,991003980549702656","Catalog Record")</f>
        <v/>
      </c>
      <c r="AT283">
        <f>HYPERLINK("http://www.worldcat.org/oclc/2019843","WorldCat Record")</f>
        <v/>
      </c>
      <c r="AU283" t="inlineStr">
        <is>
          <t>4160142498:eng</t>
        </is>
      </c>
      <c r="AV283" t="inlineStr">
        <is>
          <t>2019843</t>
        </is>
      </c>
      <c r="AW283" t="inlineStr">
        <is>
          <t>991003980549702656</t>
        </is>
      </c>
      <c r="AX283" t="inlineStr">
        <is>
          <t>991003980549702656</t>
        </is>
      </c>
      <c r="AY283" t="inlineStr">
        <is>
          <t>2260218160002656</t>
        </is>
      </c>
      <c r="AZ283" t="inlineStr">
        <is>
          <t>BOOK</t>
        </is>
      </c>
      <c r="BC283" t="inlineStr">
        <is>
          <t>32285000304260</t>
        </is>
      </c>
      <c r="BD283" t="inlineStr">
        <is>
          <t>893535749</t>
        </is>
      </c>
    </row>
    <row r="284">
      <c r="A284" t="inlineStr">
        <is>
          <t>No</t>
        </is>
      </c>
      <c r="B284" t="inlineStr">
        <is>
          <t>PG3458.A3 H4 1955</t>
        </is>
      </c>
      <c r="C284" t="inlineStr">
        <is>
          <t>0                      PG 3458000A  3                  H  4           1955</t>
        </is>
      </c>
      <c r="D284" t="inlineStr">
        <is>
          <t>The selected letters of Anton Chekhov / edited by Lillian Hellman ; translated by Sidonie Lederer.</t>
        </is>
      </c>
      <c r="F284" t="inlineStr">
        <is>
          <t>No</t>
        </is>
      </c>
      <c r="G284" t="inlineStr">
        <is>
          <t>1</t>
        </is>
      </c>
      <c r="H284" t="inlineStr">
        <is>
          <t>No</t>
        </is>
      </c>
      <c r="I284" t="inlineStr">
        <is>
          <t>Yes</t>
        </is>
      </c>
      <c r="J284" t="inlineStr">
        <is>
          <t>0</t>
        </is>
      </c>
      <c r="K284" t="inlineStr">
        <is>
          <t>Chekhov, Anton Pavlovich, 1860-1904.</t>
        </is>
      </c>
      <c r="L284" t="inlineStr">
        <is>
          <t>New York : Farrar, Straus, [1955]</t>
        </is>
      </c>
      <c r="M284" t="inlineStr">
        <is>
          <t>1955</t>
        </is>
      </c>
      <c r="O284" t="inlineStr">
        <is>
          <t>eng</t>
        </is>
      </c>
      <c r="P284" t="inlineStr">
        <is>
          <t>nyu</t>
        </is>
      </c>
      <c r="Q284" t="inlineStr">
        <is>
          <t>Great letters series</t>
        </is>
      </c>
      <c r="R284" t="inlineStr">
        <is>
          <t xml:space="preserve">PG </t>
        </is>
      </c>
      <c r="S284" t="n">
        <v>2</v>
      </c>
      <c r="T284" t="n">
        <v>2</v>
      </c>
      <c r="U284" t="inlineStr">
        <is>
          <t>1994-08-16</t>
        </is>
      </c>
      <c r="V284" t="inlineStr">
        <is>
          <t>1994-08-16</t>
        </is>
      </c>
      <c r="W284" t="inlineStr">
        <is>
          <t>1990-09-18</t>
        </is>
      </c>
      <c r="X284" t="inlineStr">
        <is>
          <t>1990-09-18</t>
        </is>
      </c>
      <c r="Y284" t="n">
        <v>535</v>
      </c>
      <c r="Z284" t="n">
        <v>515</v>
      </c>
      <c r="AA284" t="n">
        <v>690</v>
      </c>
      <c r="AB284" t="n">
        <v>6</v>
      </c>
      <c r="AC284" t="n">
        <v>7</v>
      </c>
      <c r="AD284" t="n">
        <v>27</v>
      </c>
      <c r="AE284" t="n">
        <v>34</v>
      </c>
      <c r="AF284" t="n">
        <v>8</v>
      </c>
      <c r="AG284" t="n">
        <v>12</v>
      </c>
      <c r="AH284" t="n">
        <v>6</v>
      </c>
      <c r="AI284" t="n">
        <v>7</v>
      </c>
      <c r="AJ284" t="n">
        <v>14</v>
      </c>
      <c r="AK284" t="n">
        <v>18</v>
      </c>
      <c r="AL284" t="n">
        <v>5</v>
      </c>
      <c r="AM284" t="n">
        <v>6</v>
      </c>
      <c r="AN284" t="n">
        <v>0</v>
      </c>
      <c r="AO284" t="n">
        <v>0</v>
      </c>
      <c r="AP284" t="inlineStr">
        <is>
          <t>No</t>
        </is>
      </c>
      <c r="AQ284" t="inlineStr">
        <is>
          <t>Yes</t>
        </is>
      </c>
      <c r="AR284">
        <f>HYPERLINK("http://catalog.hathitrust.org/Record/001224188","HathiTrust Record")</f>
        <v/>
      </c>
      <c r="AS284">
        <f>HYPERLINK("https://creighton-primo.hosted.exlibrisgroup.com/primo-explore/search?tab=default_tab&amp;search_scope=EVERYTHING&amp;vid=01CRU&amp;lang=en_US&amp;offset=0&amp;query=any,contains,991002257789702656","Catalog Record")</f>
        <v/>
      </c>
      <c r="AT284">
        <f>HYPERLINK("http://www.worldcat.org/oclc/302473","WorldCat Record")</f>
        <v/>
      </c>
      <c r="AU284" t="inlineStr">
        <is>
          <t>196631339:eng</t>
        </is>
      </c>
      <c r="AV284" t="inlineStr">
        <is>
          <t>302473</t>
        </is>
      </c>
      <c r="AW284" t="inlineStr">
        <is>
          <t>991002257789702656</t>
        </is>
      </c>
      <c r="AX284" t="inlineStr">
        <is>
          <t>991002257789702656</t>
        </is>
      </c>
      <c r="AY284" t="inlineStr">
        <is>
          <t>2272133270002656</t>
        </is>
      </c>
      <c r="AZ284" t="inlineStr">
        <is>
          <t>BOOK</t>
        </is>
      </c>
      <c r="BC284" t="inlineStr">
        <is>
          <t>32285000304252</t>
        </is>
      </c>
      <c r="BD284" t="inlineStr">
        <is>
          <t>893609648</t>
        </is>
      </c>
    </row>
    <row r="285">
      <c r="A285" t="inlineStr">
        <is>
          <t>No</t>
        </is>
      </c>
      <c r="B285" t="inlineStr">
        <is>
          <t>PG3458.Z8 B513 1983</t>
        </is>
      </c>
      <c r="C285" t="inlineStr">
        <is>
          <t>0                      PG 3458000Z  8                  B  513         1983</t>
        </is>
      </c>
      <c r="D285" t="inlineStr">
        <is>
          <t>Chekhov's art, a stylistic analysis / Peter M. Bitsilli ; translated by Toby W. Clyman &amp; Edwina Jannie Cruise.</t>
        </is>
      </c>
      <c r="F285" t="inlineStr">
        <is>
          <t>No</t>
        </is>
      </c>
      <c r="G285" t="inlineStr">
        <is>
          <t>1</t>
        </is>
      </c>
      <c r="H285" t="inlineStr">
        <is>
          <t>No</t>
        </is>
      </c>
      <c r="I285" t="inlineStr">
        <is>
          <t>No</t>
        </is>
      </c>
      <c r="J285" t="inlineStr">
        <is>
          <t>0</t>
        </is>
      </c>
      <c r="K285" t="inlineStr">
        <is>
          <t>Bit︠s︡illi, P. M. (Petr Mikhaĭlovich), 1879-1953.</t>
        </is>
      </c>
      <c r="L285" t="inlineStr">
        <is>
          <t>Ann Arbor : Ardis, c1983.</t>
        </is>
      </c>
      <c r="M285" t="inlineStr">
        <is>
          <t>1983</t>
        </is>
      </c>
      <c r="O285" t="inlineStr">
        <is>
          <t>eng</t>
        </is>
      </c>
      <c r="P285" t="inlineStr">
        <is>
          <t>miu</t>
        </is>
      </c>
      <c r="R285" t="inlineStr">
        <is>
          <t xml:space="preserve">PG </t>
        </is>
      </c>
      <c r="S285" t="n">
        <v>6</v>
      </c>
      <c r="T285" t="n">
        <v>6</v>
      </c>
      <c r="U285" t="inlineStr">
        <is>
          <t>2000-12-08</t>
        </is>
      </c>
      <c r="V285" t="inlineStr">
        <is>
          <t>2000-12-08</t>
        </is>
      </c>
      <c r="W285" t="inlineStr">
        <is>
          <t>1990-06-15</t>
        </is>
      </c>
      <c r="X285" t="inlineStr">
        <is>
          <t>1990-06-15</t>
        </is>
      </c>
      <c r="Y285" t="n">
        <v>490</v>
      </c>
      <c r="Z285" t="n">
        <v>407</v>
      </c>
      <c r="AA285" t="n">
        <v>408</v>
      </c>
      <c r="AB285" t="n">
        <v>4</v>
      </c>
      <c r="AC285" t="n">
        <v>4</v>
      </c>
      <c r="AD285" t="n">
        <v>21</v>
      </c>
      <c r="AE285" t="n">
        <v>21</v>
      </c>
      <c r="AF285" t="n">
        <v>9</v>
      </c>
      <c r="AG285" t="n">
        <v>9</v>
      </c>
      <c r="AH285" t="n">
        <v>5</v>
      </c>
      <c r="AI285" t="n">
        <v>5</v>
      </c>
      <c r="AJ285" t="n">
        <v>9</v>
      </c>
      <c r="AK285" t="n">
        <v>9</v>
      </c>
      <c r="AL285" t="n">
        <v>3</v>
      </c>
      <c r="AM285" t="n">
        <v>3</v>
      </c>
      <c r="AN285" t="n">
        <v>0</v>
      </c>
      <c r="AO285" t="n">
        <v>0</v>
      </c>
      <c r="AP285" t="inlineStr">
        <is>
          <t>No</t>
        </is>
      </c>
      <c r="AQ285" t="inlineStr">
        <is>
          <t>Yes</t>
        </is>
      </c>
      <c r="AR285">
        <f>HYPERLINK("http://catalog.hathitrust.org/Record/000238934","HathiTrust Record")</f>
        <v/>
      </c>
      <c r="AS285">
        <f>HYPERLINK("https://creighton-primo.hosted.exlibrisgroup.com/primo-explore/search?tab=default_tab&amp;search_scope=EVERYTHING&amp;vid=01CRU&amp;lang=en_US&amp;offset=0&amp;query=any,contains,991000149649702656","Catalog Record")</f>
        <v/>
      </c>
      <c r="AT285">
        <f>HYPERLINK("http://www.worldcat.org/oclc/9197554","WorldCat Record")</f>
        <v/>
      </c>
      <c r="AU285" t="inlineStr">
        <is>
          <t>43722494:eng</t>
        </is>
      </c>
      <c r="AV285" t="inlineStr">
        <is>
          <t>9197554</t>
        </is>
      </c>
      <c r="AW285" t="inlineStr">
        <is>
          <t>991000149649702656</t>
        </is>
      </c>
      <c r="AX285" t="inlineStr">
        <is>
          <t>991000149649702656</t>
        </is>
      </c>
      <c r="AY285" t="inlineStr">
        <is>
          <t>2265954420002656</t>
        </is>
      </c>
      <c r="AZ285" t="inlineStr">
        <is>
          <t>BOOK</t>
        </is>
      </c>
      <c r="BB285" t="inlineStr">
        <is>
          <t>9780882334899</t>
        </is>
      </c>
      <c r="BC285" t="inlineStr">
        <is>
          <t>32285000197656</t>
        </is>
      </c>
      <c r="BD285" t="inlineStr">
        <is>
          <t>893237112</t>
        </is>
      </c>
    </row>
    <row r="286">
      <c r="A286" t="inlineStr">
        <is>
          <t>No</t>
        </is>
      </c>
      <c r="B286" t="inlineStr">
        <is>
          <t>PG3458.Z8 H3 1979</t>
        </is>
      </c>
      <c r="C286" t="inlineStr">
        <is>
          <t>0                      PG 3458000Z  8                  H  3           1979</t>
        </is>
      </c>
      <c r="D286" t="inlineStr">
        <is>
          <t>Chekhov : a study of the major stories and plays / Beverly Hahn.</t>
        </is>
      </c>
      <c r="F286" t="inlineStr">
        <is>
          <t>No</t>
        </is>
      </c>
      <c r="G286" t="inlineStr">
        <is>
          <t>1</t>
        </is>
      </c>
      <c r="H286" t="inlineStr">
        <is>
          <t>No</t>
        </is>
      </c>
      <c r="I286" t="inlineStr">
        <is>
          <t>No</t>
        </is>
      </c>
      <c r="J286" t="inlineStr">
        <is>
          <t>0</t>
        </is>
      </c>
      <c r="K286" t="inlineStr">
        <is>
          <t>Hahn, Beverly, 1947-</t>
        </is>
      </c>
      <c r="L286" t="inlineStr">
        <is>
          <t>London ; New York : Cambridge University Press, 1979, c1977.</t>
        </is>
      </c>
      <c r="M286" t="inlineStr">
        <is>
          <t>1977</t>
        </is>
      </c>
      <c r="N286" t="inlineStr">
        <is>
          <t>1st paperback edition.</t>
        </is>
      </c>
      <c r="O286" t="inlineStr">
        <is>
          <t>eng</t>
        </is>
      </c>
      <c r="P286" t="inlineStr">
        <is>
          <t>enk</t>
        </is>
      </c>
      <c r="Q286" t="inlineStr">
        <is>
          <t>Major European authors</t>
        </is>
      </c>
      <c r="R286" t="inlineStr">
        <is>
          <t xml:space="preserve">PG </t>
        </is>
      </c>
      <c r="S286" t="n">
        <v>8</v>
      </c>
      <c r="T286" t="n">
        <v>8</v>
      </c>
      <c r="U286" t="inlineStr">
        <is>
          <t>2004-04-13</t>
        </is>
      </c>
      <c r="V286" t="inlineStr">
        <is>
          <t>2004-04-13</t>
        </is>
      </c>
      <c r="W286" t="inlineStr">
        <is>
          <t>1991-12-09</t>
        </is>
      </c>
      <c r="X286" t="inlineStr">
        <is>
          <t>1991-12-09</t>
        </is>
      </c>
      <c r="Y286" t="n">
        <v>782</v>
      </c>
      <c r="Z286" t="n">
        <v>569</v>
      </c>
      <c r="AA286" t="n">
        <v>601</v>
      </c>
      <c r="AB286" t="n">
        <v>6</v>
      </c>
      <c r="AC286" t="n">
        <v>6</v>
      </c>
      <c r="AD286" t="n">
        <v>22</v>
      </c>
      <c r="AE286" t="n">
        <v>25</v>
      </c>
      <c r="AF286" t="n">
        <v>6</v>
      </c>
      <c r="AG286" t="n">
        <v>7</v>
      </c>
      <c r="AH286" t="n">
        <v>6</v>
      </c>
      <c r="AI286" t="n">
        <v>7</v>
      </c>
      <c r="AJ286" t="n">
        <v>12</v>
      </c>
      <c r="AK286" t="n">
        <v>13</v>
      </c>
      <c r="AL286" t="n">
        <v>5</v>
      </c>
      <c r="AM286" t="n">
        <v>5</v>
      </c>
      <c r="AN286" t="n">
        <v>0</v>
      </c>
      <c r="AO286" t="n">
        <v>0</v>
      </c>
      <c r="AP286" t="inlineStr">
        <is>
          <t>No</t>
        </is>
      </c>
      <c r="AQ286" t="inlineStr">
        <is>
          <t>No</t>
        </is>
      </c>
      <c r="AS286">
        <f>HYPERLINK("https://creighton-primo.hosted.exlibrisgroup.com/primo-explore/search?tab=default_tab&amp;search_scope=EVERYTHING&amp;vid=01CRU&amp;lang=en_US&amp;offset=0&amp;query=any,contains,991004082189702656","Catalog Record")</f>
        <v/>
      </c>
      <c r="AT286">
        <f>HYPERLINK("http://www.worldcat.org/oclc/2330928","WorldCat Record")</f>
        <v/>
      </c>
      <c r="AU286" t="inlineStr">
        <is>
          <t>478354433:eng</t>
        </is>
      </c>
      <c r="AV286" t="inlineStr">
        <is>
          <t>2330928</t>
        </is>
      </c>
      <c r="AW286" t="inlineStr">
        <is>
          <t>991004082189702656</t>
        </is>
      </c>
      <c r="AX286" t="inlineStr">
        <is>
          <t>991004082189702656</t>
        </is>
      </c>
      <c r="AY286" t="inlineStr">
        <is>
          <t>2263821030002656</t>
        </is>
      </c>
      <c r="AZ286" t="inlineStr">
        <is>
          <t>BOOK</t>
        </is>
      </c>
      <c r="BB286" t="inlineStr">
        <is>
          <t>9780521209519</t>
        </is>
      </c>
      <c r="BC286" t="inlineStr">
        <is>
          <t>32285000873272</t>
        </is>
      </c>
      <c r="BD286" t="inlineStr">
        <is>
          <t>893687344</t>
        </is>
      </c>
    </row>
    <row r="287">
      <c r="A287" t="inlineStr">
        <is>
          <t>No</t>
        </is>
      </c>
      <c r="B287" t="inlineStr">
        <is>
          <t>PG3458.Z8 K57</t>
        </is>
      </c>
      <c r="C287" t="inlineStr">
        <is>
          <t>0                      PG 3458000Z  8                  K  57</t>
        </is>
      </c>
      <c r="D287" t="inlineStr">
        <is>
          <t>Anton Chekhov / by Irina Kirk.</t>
        </is>
      </c>
      <c r="F287" t="inlineStr">
        <is>
          <t>No</t>
        </is>
      </c>
      <c r="G287" t="inlineStr">
        <is>
          <t>1</t>
        </is>
      </c>
      <c r="H287" t="inlineStr">
        <is>
          <t>No</t>
        </is>
      </c>
      <c r="I287" t="inlineStr">
        <is>
          <t>No</t>
        </is>
      </c>
      <c r="J287" t="inlineStr">
        <is>
          <t>0</t>
        </is>
      </c>
      <c r="K287" t="inlineStr">
        <is>
          <t>Kirk, Irina.</t>
        </is>
      </c>
      <c r="L287" t="inlineStr">
        <is>
          <t>Boston : Twayne Publishers, 1981.</t>
        </is>
      </c>
      <c r="M287" t="inlineStr">
        <is>
          <t>1981</t>
        </is>
      </c>
      <c r="O287" t="inlineStr">
        <is>
          <t>eng</t>
        </is>
      </c>
      <c r="P287" t="inlineStr">
        <is>
          <t>mau</t>
        </is>
      </c>
      <c r="Q287" t="inlineStr">
        <is>
          <t>Twayne's world authors series ; TWAS 568 : Russia</t>
        </is>
      </c>
      <c r="R287" t="inlineStr">
        <is>
          <t xml:space="preserve">PG </t>
        </is>
      </c>
      <c r="S287" t="n">
        <v>7</v>
      </c>
      <c r="T287" t="n">
        <v>7</v>
      </c>
      <c r="U287" t="inlineStr">
        <is>
          <t>1998-04-30</t>
        </is>
      </c>
      <c r="V287" t="inlineStr">
        <is>
          <t>1998-04-30</t>
        </is>
      </c>
      <c r="W287" t="inlineStr">
        <is>
          <t>1990-02-14</t>
        </is>
      </c>
      <c r="X287" t="inlineStr">
        <is>
          <t>1990-02-14</t>
        </is>
      </c>
      <c r="Y287" t="n">
        <v>1083</v>
      </c>
      <c r="Z287" t="n">
        <v>996</v>
      </c>
      <c r="AA287" t="n">
        <v>1090</v>
      </c>
      <c r="AB287" t="n">
        <v>6</v>
      </c>
      <c r="AC287" t="n">
        <v>6</v>
      </c>
      <c r="AD287" t="n">
        <v>33</v>
      </c>
      <c r="AE287" t="n">
        <v>33</v>
      </c>
      <c r="AF287" t="n">
        <v>17</v>
      </c>
      <c r="AG287" t="n">
        <v>17</v>
      </c>
      <c r="AH287" t="n">
        <v>3</v>
      </c>
      <c r="AI287" t="n">
        <v>3</v>
      </c>
      <c r="AJ287" t="n">
        <v>17</v>
      </c>
      <c r="AK287" t="n">
        <v>17</v>
      </c>
      <c r="AL287" t="n">
        <v>3</v>
      </c>
      <c r="AM287" t="n">
        <v>3</v>
      </c>
      <c r="AN287" t="n">
        <v>0</v>
      </c>
      <c r="AO287" t="n">
        <v>0</v>
      </c>
      <c r="AP287" t="inlineStr">
        <is>
          <t>No</t>
        </is>
      </c>
      <c r="AQ287" t="inlineStr">
        <is>
          <t>Yes</t>
        </is>
      </c>
      <c r="AR287">
        <f>HYPERLINK("http://catalog.hathitrust.org/Record/000729452","HathiTrust Record")</f>
        <v/>
      </c>
      <c r="AS287">
        <f>HYPERLINK("https://creighton-primo.hosted.exlibrisgroup.com/primo-explore/search?tab=default_tab&amp;search_scope=EVERYTHING&amp;vid=01CRU&amp;lang=en_US&amp;offset=0&amp;query=any,contains,991005002369702656","Catalog Record")</f>
        <v/>
      </c>
      <c r="AT287">
        <f>HYPERLINK("http://www.worldcat.org/oclc/6554480","WorldCat Record")</f>
        <v/>
      </c>
      <c r="AU287" t="inlineStr">
        <is>
          <t>461481:eng</t>
        </is>
      </c>
      <c r="AV287" t="inlineStr">
        <is>
          <t>6554480</t>
        </is>
      </c>
      <c r="AW287" t="inlineStr">
        <is>
          <t>991005002369702656</t>
        </is>
      </c>
      <c r="AX287" t="inlineStr">
        <is>
          <t>991005002369702656</t>
        </is>
      </c>
      <c r="AY287" t="inlineStr">
        <is>
          <t>2255375900002656</t>
        </is>
      </c>
      <c r="AZ287" t="inlineStr">
        <is>
          <t>BOOK</t>
        </is>
      </c>
      <c r="BB287" t="inlineStr">
        <is>
          <t>9780805764109</t>
        </is>
      </c>
      <c r="BC287" t="inlineStr">
        <is>
          <t>32285000053404</t>
        </is>
      </c>
      <c r="BD287" t="inlineStr">
        <is>
          <t>893600477</t>
        </is>
      </c>
    </row>
    <row r="288">
      <c r="A288" t="inlineStr">
        <is>
          <t>No</t>
        </is>
      </c>
      <c r="B288" t="inlineStr">
        <is>
          <t>PG3458.Z8 L36 1985</t>
        </is>
      </c>
      <c r="C288" t="inlineStr">
        <is>
          <t>0                      PG 3458000Z  8                  L  36          1985</t>
        </is>
      </c>
      <c r="D288" t="inlineStr">
        <is>
          <t>Anton Chekhov : a reference guide to literature / K.A. Lantz.</t>
        </is>
      </c>
      <c r="F288" t="inlineStr">
        <is>
          <t>No</t>
        </is>
      </c>
      <c r="G288" t="inlineStr">
        <is>
          <t>1</t>
        </is>
      </c>
      <c r="H288" t="inlineStr">
        <is>
          <t>No</t>
        </is>
      </c>
      <c r="I288" t="inlineStr">
        <is>
          <t>No</t>
        </is>
      </c>
      <c r="J288" t="inlineStr">
        <is>
          <t>0</t>
        </is>
      </c>
      <c r="K288" t="inlineStr">
        <is>
          <t>Lantz, K. A.</t>
        </is>
      </c>
      <c r="L288" t="inlineStr">
        <is>
          <t>Boston, Mass. : G.K. Hall, c1985.</t>
        </is>
      </c>
      <c r="M288" t="inlineStr">
        <is>
          <t>1985</t>
        </is>
      </c>
      <c r="O288" t="inlineStr">
        <is>
          <t>eng</t>
        </is>
      </c>
      <c r="P288" t="inlineStr">
        <is>
          <t>mau</t>
        </is>
      </c>
      <c r="Q288" t="inlineStr">
        <is>
          <t>A Reference guide to literature</t>
        </is>
      </c>
      <c r="R288" t="inlineStr">
        <is>
          <t xml:space="preserve">PG </t>
        </is>
      </c>
      <c r="S288" t="n">
        <v>4</v>
      </c>
      <c r="T288" t="n">
        <v>4</v>
      </c>
      <c r="U288" t="inlineStr">
        <is>
          <t>2000-09-13</t>
        </is>
      </c>
      <c r="V288" t="inlineStr">
        <is>
          <t>2000-09-13</t>
        </is>
      </c>
      <c r="W288" t="inlineStr">
        <is>
          <t>1990-02-21</t>
        </is>
      </c>
      <c r="X288" t="inlineStr">
        <is>
          <t>1990-02-21</t>
        </is>
      </c>
      <c r="Y288" t="n">
        <v>416</v>
      </c>
      <c r="Z288" t="n">
        <v>341</v>
      </c>
      <c r="AA288" t="n">
        <v>352</v>
      </c>
      <c r="AB288" t="n">
        <v>3</v>
      </c>
      <c r="AC288" t="n">
        <v>3</v>
      </c>
      <c r="AD288" t="n">
        <v>12</v>
      </c>
      <c r="AE288" t="n">
        <v>13</v>
      </c>
      <c r="AF288" t="n">
        <v>2</v>
      </c>
      <c r="AG288" t="n">
        <v>2</v>
      </c>
      <c r="AH288" t="n">
        <v>5</v>
      </c>
      <c r="AI288" t="n">
        <v>6</v>
      </c>
      <c r="AJ288" t="n">
        <v>6</v>
      </c>
      <c r="AK288" t="n">
        <v>7</v>
      </c>
      <c r="AL288" t="n">
        <v>2</v>
      </c>
      <c r="AM288" t="n">
        <v>2</v>
      </c>
      <c r="AN288" t="n">
        <v>0</v>
      </c>
      <c r="AO288" t="n">
        <v>0</v>
      </c>
      <c r="AP288" t="inlineStr">
        <is>
          <t>No</t>
        </is>
      </c>
      <c r="AQ288" t="inlineStr">
        <is>
          <t>Yes</t>
        </is>
      </c>
      <c r="AR288">
        <f>HYPERLINK("http://catalog.hathitrust.org/Record/000664386","HathiTrust Record")</f>
        <v/>
      </c>
      <c r="AS288">
        <f>HYPERLINK("https://creighton-primo.hosted.exlibrisgroup.com/primo-explore/search?tab=default_tab&amp;search_scope=EVERYTHING&amp;vid=01CRU&amp;lang=en_US&amp;offset=0&amp;query=any,contains,991000671609702656","Catalog Record")</f>
        <v/>
      </c>
      <c r="AT288">
        <f>HYPERLINK("http://www.worldcat.org/oclc/12315655","WorldCat Record")</f>
        <v/>
      </c>
      <c r="AU288" t="inlineStr">
        <is>
          <t>326633175:eng</t>
        </is>
      </c>
      <c r="AV288" t="inlineStr">
        <is>
          <t>12315655</t>
        </is>
      </c>
      <c r="AW288" t="inlineStr">
        <is>
          <t>991000671609702656</t>
        </is>
      </c>
      <c r="AX288" t="inlineStr">
        <is>
          <t>991000671609702656</t>
        </is>
      </c>
      <c r="AY288" t="inlineStr">
        <is>
          <t>2270940310002656</t>
        </is>
      </c>
      <c r="AZ288" t="inlineStr">
        <is>
          <t>BOOK</t>
        </is>
      </c>
      <c r="BB288" t="inlineStr">
        <is>
          <t>9780816187010</t>
        </is>
      </c>
      <c r="BC288" t="inlineStr">
        <is>
          <t>32285000053412</t>
        </is>
      </c>
      <c r="BD288" t="inlineStr">
        <is>
          <t>893333674</t>
        </is>
      </c>
    </row>
    <row r="289">
      <c r="A289" t="inlineStr">
        <is>
          <t>No</t>
        </is>
      </c>
      <c r="B289" t="inlineStr">
        <is>
          <t>PG3458.Z8 M28 2001</t>
        </is>
      </c>
      <c r="C289" t="inlineStr">
        <is>
          <t>0                      PG 3458000Z  8                  M  28          2001</t>
        </is>
      </c>
      <c r="D289" t="inlineStr">
        <is>
          <t>Reading Chekhov : a critical journey / Janet Malcolm.</t>
        </is>
      </c>
      <c r="F289" t="inlineStr">
        <is>
          <t>No</t>
        </is>
      </c>
      <c r="G289" t="inlineStr">
        <is>
          <t>1</t>
        </is>
      </c>
      <c r="H289" t="inlineStr">
        <is>
          <t>No</t>
        </is>
      </c>
      <c r="I289" t="inlineStr">
        <is>
          <t>No</t>
        </is>
      </c>
      <c r="J289" t="inlineStr">
        <is>
          <t>0</t>
        </is>
      </c>
      <c r="K289" t="inlineStr">
        <is>
          <t>Malcolm, Janet.</t>
        </is>
      </c>
      <c r="L289" t="inlineStr">
        <is>
          <t>New York : Random House, c2001.</t>
        </is>
      </c>
      <c r="M289" t="inlineStr">
        <is>
          <t>2001</t>
        </is>
      </c>
      <c r="N289" t="inlineStr">
        <is>
          <t>1st ed.</t>
        </is>
      </c>
      <c r="O289" t="inlineStr">
        <is>
          <t>eng</t>
        </is>
      </c>
      <c r="P289" t="inlineStr">
        <is>
          <t>nyu</t>
        </is>
      </c>
      <c r="R289" t="inlineStr">
        <is>
          <t xml:space="preserve">PG </t>
        </is>
      </c>
      <c r="S289" t="n">
        <v>1</v>
      </c>
      <c r="T289" t="n">
        <v>1</v>
      </c>
      <c r="U289" t="inlineStr">
        <is>
          <t>2002-01-09</t>
        </is>
      </c>
      <c r="V289" t="inlineStr">
        <is>
          <t>2002-01-09</t>
        </is>
      </c>
      <c r="W289" t="inlineStr">
        <is>
          <t>2002-01-09</t>
        </is>
      </c>
      <c r="X289" t="inlineStr">
        <is>
          <t>2002-01-09</t>
        </is>
      </c>
      <c r="Y289" t="n">
        <v>975</v>
      </c>
      <c r="Z289" t="n">
        <v>895</v>
      </c>
      <c r="AA289" t="n">
        <v>1002</v>
      </c>
      <c r="AB289" t="n">
        <v>5</v>
      </c>
      <c r="AC289" t="n">
        <v>7</v>
      </c>
      <c r="AD289" t="n">
        <v>30</v>
      </c>
      <c r="AE289" t="n">
        <v>34</v>
      </c>
      <c r="AF289" t="n">
        <v>12</v>
      </c>
      <c r="AG289" t="n">
        <v>14</v>
      </c>
      <c r="AH289" t="n">
        <v>6</v>
      </c>
      <c r="AI289" t="n">
        <v>6</v>
      </c>
      <c r="AJ289" t="n">
        <v>16</v>
      </c>
      <c r="AK289" t="n">
        <v>17</v>
      </c>
      <c r="AL289" t="n">
        <v>2</v>
      </c>
      <c r="AM289" t="n">
        <v>4</v>
      </c>
      <c r="AN289" t="n">
        <v>0</v>
      </c>
      <c r="AO289" t="n">
        <v>0</v>
      </c>
      <c r="AP289" t="inlineStr">
        <is>
          <t>No</t>
        </is>
      </c>
      <c r="AQ289" t="inlineStr">
        <is>
          <t>Yes</t>
        </is>
      </c>
      <c r="AR289">
        <f>HYPERLINK("http://catalog.hathitrust.org/Record/004209286","HathiTrust Record")</f>
        <v/>
      </c>
      <c r="AS289">
        <f>HYPERLINK("https://creighton-primo.hosted.exlibrisgroup.com/primo-explore/search?tab=default_tab&amp;search_scope=EVERYTHING&amp;vid=01CRU&amp;lang=en_US&amp;offset=0&amp;query=any,contains,991003700389702656","Catalog Record")</f>
        <v/>
      </c>
      <c r="AT289">
        <f>HYPERLINK("http://www.worldcat.org/oclc/46472060","WorldCat Record")</f>
        <v/>
      </c>
      <c r="AU289" t="inlineStr">
        <is>
          <t>793879517:eng</t>
        </is>
      </c>
      <c r="AV289" t="inlineStr">
        <is>
          <t>46472060</t>
        </is>
      </c>
      <c r="AW289" t="inlineStr">
        <is>
          <t>991003700389702656</t>
        </is>
      </c>
      <c r="AX289" t="inlineStr">
        <is>
          <t>991003700389702656</t>
        </is>
      </c>
      <c r="AY289" t="inlineStr">
        <is>
          <t>2262779160002656</t>
        </is>
      </c>
      <c r="AZ289" t="inlineStr">
        <is>
          <t>BOOK</t>
        </is>
      </c>
      <c r="BB289" t="inlineStr">
        <is>
          <t>9780375506680</t>
        </is>
      </c>
      <c r="BC289" t="inlineStr">
        <is>
          <t>32285004445994</t>
        </is>
      </c>
      <c r="BD289" t="inlineStr">
        <is>
          <t>893429103</t>
        </is>
      </c>
    </row>
    <row r="290">
      <c r="A290" t="inlineStr">
        <is>
          <t>No</t>
        </is>
      </c>
      <c r="B290" t="inlineStr">
        <is>
          <t>PG3458.Z8 W6 1986</t>
        </is>
      </c>
      <c r="C290" t="inlineStr">
        <is>
          <t>0                      PG 3458000Z  8                  W  6           1986</t>
        </is>
      </c>
      <c r="D290" t="inlineStr">
        <is>
          <t>File on Chekhov / compiled by Nick Worrall.</t>
        </is>
      </c>
      <c r="F290" t="inlineStr">
        <is>
          <t>No</t>
        </is>
      </c>
      <c r="G290" t="inlineStr">
        <is>
          <t>1</t>
        </is>
      </c>
      <c r="H290" t="inlineStr">
        <is>
          <t>No</t>
        </is>
      </c>
      <c r="I290" t="inlineStr">
        <is>
          <t>No</t>
        </is>
      </c>
      <c r="J290" t="inlineStr">
        <is>
          <t>0</t>
        </is>
      </c>
      <c r="K290" t="inlineStr">
        <is>
          <t>Worrall, Nick.</t>
        </is>
      </c>
      <c r="L290" t="inlineStr">
        <is>
          <t>London ; New York : Methuen, 1986.</t>
        </is>
      </c>
      <c r="M290" t="inlineStr">
        <is>
          <t>1986</t>
        </is>
      </c>
      <c r="O290" t="inlineStr">
        <is>
          <t>eng</t>
        </is>
      </c>
      <c r="P290" t="inlineStr">
        <is>
          <t>enk</t>
        </is>
      </c>
      <c r="Q290" t="inlineStr">
        <is>
          <t>Writer-files</t>
        </is>
      </c>
      <c r="R290" t="inlineStr">
        <is>
          <t xml:space="preserve">PG </t>
        </is>
      </c>
      <c r="S290" t="n">
        <v>4</v>
      </c>
      <c r="T290" t="n">
        <v>4</v>
      </c>
      <c r="U290" t="inlineStr">
        <is>
          <t>1995-02-09</t>
        </is>
      </c>
      <c r="V290" t="inlineStr">
        <is>
          <t>1995-02-09</t>
        </is>
      </c>
      <c r="W290" t="inlineStr">
        <is>
          <t>1991-12-09</t>
        </is>
      </c>
      <c r="X290" t="inlineStr">
        <is>
          <t>1991-12-09</t>
        </is>
      </c>
      <c r="Y290" t="n">
        <v>325</v>
      </c>
      <c r="Z290" t="n">
        <v>213</v>
      </c>
      <c r="AA290" t="n">
        <v>220</v>
      </c>
      <c r="AB290" t="n">
        <v>4</v>
      </c>
      <c r="AC290" t="n">
        <v>4</v>
      </c>
      <c r="AD290" t="n">
        <v>11</v>
      </c>
      <c r="AE290" t="n">
        <v>11</v>
      </c>
      <c r="AF290" t="n">
        <v>2</v>
      </c>
      <c r="AG290" t="n">
        <v>2</v>
      </c>
      <c r="AH290" t="n">
        <v>2</v>
      </c>
      <c r="AI290" t="n">
        <v>2</v>
      </c>
      <c r="AJ290" t="n">
        <v>5</v>
      </c>
      <c r="AK290" t="n">
        <v>5</v>
      </c>
      <c r="AL290" t="n">
        <v>3</v>
      </c>
      <c r="AM290" t="n">
        <v>3</v>
      </c>
      <c r="AN290" t="n">
        <v>0</v>
      </c>
      <c r="AO290" t="n">
        <v>0</v>
      </c>
      <c r="AP290" t="inlineStr">
        <is>
          <t>No</t>
        </is>
      </c>
      <c r="AQ290" t="inlineStr">
        <is>
          <t>Yes</t>
        </is>
      </c>
      <c r="AR290">
        <f>HYPERLINK("http://catalog.hathitrust.org/Record/000445610","HathiTrust Record")</f>
        <v/>
      </c>
      <c r="AS290">
        <f>HYPERLINK("https://creighton-primo.hosted.exlibrisgroup.com/primo-explore/search?tab=default_tab&amp;search_scope=EVERYTHING&amp;vid=01CRU&amp;lang=en_US&amp;offset=0&amp;query=any,contains,991000901619702656","Catalog Record")</f>
        <v/>
      </c>
      <c r="AT290">
        <f>HYPERLINK("http://www.worldcat.org/oclc/14068038","WorldCat Record")</f>
        <v/>
      </c>
      <c r="AU290" t="inlineStr">
        <is>
          <t>141363168:eng</t>
        </is>
      </c>
      <c r="AV290" t="inlineStr">
        <is>
          <t>14068038</t>
        </is>
      </c>
      <c r="AW290" t="inlineStr">
        <is>
          <t>991000901619702656</t>
        </is>
      </c>
      <c r="AX290" t="inlineStr">
        <is>
          <t>991000901619702656</t>
        </is>
      </c>
      <c r="AY290" t="inlineStr">
        <is>
          <t>2256925550002656</t>
        </is>
      </c>
      <c r="AZ290" t="inlineStr">
        <is>
          <t>BOOK</t>
        </is>
      </c>
      <c r="BB290" t="inlineStr">
        <is>
          <t>9780413537409</t>
        </is>
      </c>
      <c r="BC290" t="inlineStr">
        <is>
          <t>32285000885623</t>
        </is>
      </c>
      <c r="BD290" t="inlineStr">
        <is>
          <t>893865781</t>
        </is>
      </c>
    </row>
    <row r="291">
      <c r="A291" t="inlineStr">
        <is>
          <t>No</t>
        </is>
      </c>
      <c r="B291" t="inlineStr">
        <is>
          <t>PG3458.Z9 D7 1985</t>
        </is>
      </c>
      <c r="C291" t="inlineStr">
        <is>
          <t>0                      PG 3458000Z  9                  D  7           1985</t>
        </is>
      </c>
      <c r="D291" t="inlineStr">
        <is>
          <t>Anton Chekhov / Laurence Senelick.</t>
        </is>
      </c>
      <c r="F291" t="inlineStr">
        <is>
          <t>No</t>
        </is>
      </c>
      <c r="G291" t="inlineStr">
        <is>
          <t>1</t>
        </is>
      </c>
      <c r="H291" t="inlineStr">
        <is>
          <t>No</t>
        </is>
      </c>
      <c r="I291" t="inlineStr">
        <is>
          <t>No</t>
        </is>
      </c>
      <c r="J291" t="inlineStr">
        <is>
          <t>0</t>
        </is>
      </c>
      <c r="K291" t="inlineStr">
        <is>
          <t>Senelick, Laurence.</t>
        </is>
      </c>
      <c r="L291" t="inlineStr">
        <is>
          <t>London : Macmillan, 1985.</t>
        </is>
      </c>
      <c r="M291" t="inlineStr">
        <is>
          <t>1985</t>
        </is>
      </c>
      <c r="O291" t="inlineStr">
        <is>
          <t>eng</t>
        </is>
      </c>
      <c r="P291" t="inlineStr">
        <is>
          <t>enk</t>
        </is>
      </c>
      <c r="Q291" t="inlineStr">
        <is>
          <t>Macmillan modern dramatists</t>
        </is>
      </c>
      <c r="R291" t="inlineStr">
        <is>
          <t xml:space="preserve">PG </t>
        </is>
      </c>
      <c r="S291" t="n">
        <v>3</v>
      </c>
      <c r="T291" t="n">
        <v>3</v>
      </c>
      <c r="U291" t="inlineStr">
        <is>
          <t>1991-12-13</t>
        </is>
      </c>
      <c r="V291" t="inlineStr">
        <is>
          <t>1991-12-13</t>
        </is>
      </c>
      <c r="W291" t="inlineStr">
        <is>
          <t>1991-12-09</t>
        </is>
      </c>
      <c r="X291" t="inlineStr">
        <is>
          <t>1991-12-09</t>
        </is>
      </c>
      <c r="Y291" t="n">
        <v>228</v>
      </c>
      <c r="Z291" t="n">
        <v>108</v>
      </c>
      <c r="AA291" t="n">
        <v>313</v>
      </c>
      <c r="AB291" t="n">
        <v>2</v>
      </c>
      <c r="AC291" t="n">
        <v>2</v>
      </c>
      <c r="AD291" t="n">
        <v>2</v>
      </c>
      <c r="AE291" t="n">
        <v>6</v>
      </c>
      <c r="AF291" t="n">
        <v>0</v>
      </c>
      <c r="AG291" t="n">
        <v>1</v>
      </c>
      <c r="AH291" t="n">
        <v>0</v>
      </c>
      <c r="AI291" t="n">
        <v>1</v>
      </c>
      <c r="AJ291" t="n">
        <v>1</v>
      </c>
      <c r="AK291" t="n">
        <v>5</v>
      </c>
      <c r="AL291" t="n">
        <v>1</v>
      </c>
      <c r="AM291" t="n">
        <v>1</v>
      </c>
      <c r="AN291" t="n">
        <v>0</v>
      </c>
      <c r="AO291" t="n">
        <v>0</v>
      </c>
      <c r="AP291" t="inlineStr">
        <is>
          <t>No</t>
        </is>
      </c>
      <c r="AQ291" t="inlineStr">
        <is>
          <t>Yes</t>
        </is>
      </c>
      <c r="AR291">
        <f>HYPERLINK("http://catalog.hathitrust.org/Record/000359210","HathiTrust Record")</f>
        <v/>
      </c>
      <c r="AS291">
        <f>HYPERLINK("https://creighton-primo.hosted.exlibrisgroup.com/primo-explore/search?tab=default_tab&amp;search_scope=EVERYTHING&amp;vid=01CRU&amp;lang=en_US&amp;offset=0&amp;query=any,contains,991000696149702656","Catalog Record")</f>
        <v/>
      </c>
      <c r="AT291">
        <f>HYPERLINK("http://www.worldcat.org/oclc/12513936","WorldCat Record")</f>
        <v/>
      </c>
      <c r="AU291" t="inlineStr">
        <is>
          <t>4923138:eng</t>
        </is>
      </c>
      <c r="AV291" t="inlineStr">
        <is>
          <t>12513936</t>
        </is>
      </c>
      <c r="AW291" t="inlineStr">
        <is>
          <t>991000696149702656</t>
        </is>
      </c>
      <c r="AX291" t="inlineStr">
        <is>
          <t>991000696149702656</t>
        </is>
      </c>
      <c r="AY291" t="inlineStr">
        <is>
          <t>2255695450002656</t>
        </is>
      </c>
      <c r="AZ291" t="inlineStr">
        <is>
          <t>BOOK</t>
        </is>
      </c>
      <c r="BB291" t="inlineStr">
        <is>
          <t>9780333308820</t>
        </is>
      </c>
      <c r="BC291" t="inlineStr">
        <is>
          <t>32285000885631</t>
        </is>
      </c>
      <c r="BD291" t="inlineStr">
        <is>
          <t>893249595</t>
        </is>
      </c>
    </row>
    <row r="292">
      <c r="A292" t="inlineStr">
        <is>
          <t>No</t>
        </is>
      </c>
      <c r="B292" t="inlineStr">
        <is>
          <t>PG3458.Z9 D755 1983</t>
        </is>
      </c>
      <c r="C292" t="inlineStr">
        <is>
          <t>0                      PG 3458000Z  9                  D  755         1983</t>
        </is>
      </c>
      <c r="D292" t="inlineStr">
        <is>
          <t>Chekhov, a study of the four major plays / Richard Peace.</t>
        </is>
      </c>
      <c r="F292" t="inlineStr">
        <is>
          <t>No</t>
        </is>
      </c>
      <c r="G292" t="inlineStr">
        <is>
          <t>1</t>
        </is>
      </c>
      <c r="H292" t="inlineStr">
        <is>
          <t>No</t>
        </is>
      </c>
      <c r="I292" t="inlineStr">
        <is>
          <t>No</t>
        </is>
      </c>
      <c r="J292" t="inlineStr">
        <is>
          <t>0</t>
        </is>
      </c>
      <c r="K292" t="inlineStr">
        <is>
          <t>Peace, Richard, 1933-2013.</t>
        </is>
      </c>
      <c r="L292" t="inlineStr">
        <is>
          <t>New Haven : Yale University Press, 1983.</t>
        </is>
      </c>
      <c r="M292" t="inlineStr">
        <is>
          <t>1983</t>
        </is>
      </c>
      <c r="O292" t="inlineStr">
        <is>
          <t>eng</t>
        </is>
      </c>
      <c r="P292" t="inlineStr">
        <is>
          <t>ctu</t>
        </is>
      </c>
      <c r="R292" t="inlineStr">
        <is>
          <t xml:space="preserve">PG </t>
        </is>
      </c>
      <c r="S292" t="n">
        <v>5</v>
      </c>
      <c r="T292" t="n">
        <v>5</v>
      </c>
      <c r="U292" t="inlineStr">
        <is>
          <t>2003-02-28</t>
        </is>
      </c>
      <c r="V292" t="inlineStr">
        <is>
          <t>2003-02-28</t>
        </is>
      </c>
      <c r="W292" t="inlineStr">
        <is>
          <t>1990-06-15</t>
        </is>
      </c>
      <c r="X292" t="inlineStr">
        <is>
          <t>1990-06-15</t>
        </is>
      </c>
      <c r="Y292" t="n">
        <v>735</v>
      </c>
      <c r="Z292" t="n">
        <v>606</v>
      </c>
      <c r="AA292" t="n">
        <v>608</v>
      </c>
      <c r="AB292" t="n">
        <v>8</v>
      </c>
      <c r="AC292" t="n">
        <v>8</v>
      </c>
      <c r="AD292" t="n">
        <v>30</v>
      </c>
      <c r="AE292" t="n">
        <v>30</v>
      </c>
      <c r="AF292" t="n">
        <v>13</v>
      </c>
      <c r="AG292" t="n">
        <v>13</v>
      </c>
      <c r="AH292" t="n">
        <v>5</v>
      </c>
      <c r="AI292" t="n">
        <v>5</v>
      </c>
      <c r="AJ292" t="n">
        <v>10</v>
      </c>
      <c r="AK292" t="n">
        <v>10</v>
      </c>
      <c r="AL292" t="n">
        <v>7</v>
      </c>
      <c r="AM292" t="n">
        <v>7</v>
      </c>
      <c r="AN292" t="n">
        <v>0</v>
      </c>
      <c r="AO292" t="n">
        <v>0</v>
      </c>
      <c r="AP292" t="inlineStr">
        <is>
          <t>No</t>
        </is>
      </c>
      <c r="AQ292" t="inlineStr">
        <is>
          <t>Yes</t>
        </is>
      </c>
      <c r="AR292">
        <f>HYPERLINK("http://catalog.hathitrust.org/Record/000315399","HathiTrust Record")</f>
        <v/>
      </c>
      <c r="AS292">
        <f>HYPERLINK("https://creighton-primo.hosted.exlibrisgroup.com/primo-explore/search?tab=default_tab&amp;search_scope=EVERYTHING&amp;vid=01CRU&amp;lang=en_US&amp;offset=0&amp;query=any,contains,991000214509702656","Catalog Record")</f>
        <v/>
      </c>
      <c r="AT292">
        <f>HYPERLINK("http://www.worldcat.org/oclc/9557338","WorldCat Record")</f>
        <v/>
      </c>
      <c r="AU292" t="inlineStr">
        <is>
          <t>889767050:eng</t>
        </is>
      </c>
      <c r="AV292" t="inlineStr">
        <is>
          <t>9557338</t>
        </is>
      </c>
      <c r="AW292" t="inlineStr">
        <is>
          <t>991000214509702656</t>
        </is>
      </c>
      <c r="AX292" t="inlineStr">
        <is>
          <t>991000214509702656</t>
        </is>
      </c>
      <c r="AY292" t="inlineStr">
        <is>
          <t>2266616930002656</t>
        </is>
      </c>
      <c r="AZ292" t="inlineStr">
        <is>
          <t>BOOK</t>
        </is>
      </c>
      <c r="BB292" t="inlineStr">
        <is>
          <t>9780300029611</t>
        </is>
      </c>
      <c r="BC292" t="inlineStr">
        <is>
          <t>32285000197664</t>
        </is>
      </c>
      <c r="BD292" t="inlineStr">
        <is>
          <t>893784070</t>
        </is>
      </c>
    </row>
    <row r="293">
      <c r="A293" t="inlineStr">
        <is>
          <t>No</t>
        </is>
      </c>
      <c r="B293" t="inlineStr">
        <is>
          <t>PG3458.Z9 D76</t>
        </is>
      </c>
      <c r="C293" t="inlineStr">
        <is>
          <t>0                      PG 3458000Z  9                  D  76</t>
        </is>
      </c>
      <c r="D293" t="inlineStr">
        <is>
          <t>The Chekhov play : a new interpretation / by Harvey Pitcher.</t>
        </is>
      </c>
      <c r="F293" t="inlineStr">
        <is>
          <t>No</t>
        </is>
      </c>
      <c r="G293" t="inlineStr">
        <is>
          <t>1</t>
        </is>
      </c>
      <c r="H293" t="inlineStr">
        <is>
          <t>No</t>
        </is>
      </c>
      <c r="I293" t="inlineStr">
        <is>
          <t>No</t>
        </is>
      </c>
      <c r="J293" t="inlineStr">
        <is>
          <t>0</t>
        </is>
      </c>
      <c r="K293" t="inlineStr">
        <is>
          <t>Pitcher, Harvey J.</t>
        </is>
      </c>
      <c r="L293" t="inlineStr">
        <is>
          <t>New York : Barnes &amp; Noble, [1973]</t>
        </is>
      </c>
      <c r="M293" t="inlineStr">
        <is>
          <t>1973</t>
        </is>
      </c>
      <c r="O293" t="inlineStr">
        <is>
          <t>eng</t>
        </is>
      </c>
      <c r="P293" t="inlineStr">
        <is>
          <t>nyu</t>
        </is>
      </c>
      <c r="R293" t="inlineStr">
        <is>
          <t xml:space="preserve">PG </t>
        </is>
      </c>
      <c r="S293" t="n">
        <v>4</v>
      </c>
      <c r="T293" t="n">
        <v>4</v>
      </c>
      <c r="U293" t="inlineStr">
        <is>
          <t>1998-05-02</t>
        </is>
      </c>
      <c r="V293" t="inlineStr">
        <is>
          <t>1998-05-02</t>
        </is>
      </c>
      <c r="W293" t="inlineStr">
        <is>
          <t>1992-01-02</t>
        </is>
      </c>
      <c r="X293" t="inlineStr">
        <is>
          <t>1992-01-02</t>
        </is>
      </c>
      <c r="Y293" t="n">
        <v>445</v>
      </c>
      <c r="Z293" t="n">
        <v>432</v>
      </c>
      <c r="AA293" t="n">
        <v>721</v>
      </c>
      <c r="AB293" t="n">
        <v>1</v>
      </c>
      <c r="AC293" t="n">
        <v>2</v>
      </c>
      <c r="AD293" t="n">
        <v>12</v>
      </c>
      <c r="AE293" t="n">
        <v>25</v>
      </c>
      <c r="AF293" t="n">
        <v>5</v>
      </c>
      <c r="AG293" t="n">
        <v>13</v>
      </c>
      <c r="AH293" t="n">
        <v>4</v>
      </c>
      <c r="AI293" t="n">
        <v>6</v>
      </c>
      <c r="AJ293" t="n">
        <v>6</v>
      </c>
      <c r="AK293" t="n">
        <v>12</v>
      </c>
      <c r="AL293" t="n">
        <v>0</v>
      </c>
      <c r="AM293" t="n">
        <v>1</v>
      </c>
      <c r="AN293" t="n">
        <v>0</v>
      </c>
      <c r="AO293" t="n">
        <v>0</v>
      </c>
      <c r="AP293" t="inlineStr">
        <is>
          <t>No</t>
        </is>
      </c>
      <c r="AQ293" t="inlineStr">
        <is>
          <t>Yes</t>
        </is>
      </c>
      <c r="AR293">
        <f>HYPERLINK("http://catalog.hathitrust.org/Record/000980884","HathiTrust Record")</f>
        <v/>
      </c>
      <c r="AS293">
        <f>HYPERLINK("https://creighton-primo.hosted.exlibrisgroup.com/primo-explore/search?tab=default_tab&amp;search_scope=EVERYTHING&amp;vid=01CRU&amp;lang=en_US&amp;offset=0&amp;query=any,contains,991003189999702656","Catalog Record")</f>
        <v/>
      </c>
      <c r="AT293">
        <f>HYPERLINK("http://www.worldcat.org/oclc/715175","WorldCat Record")</f>
        <v/>
      </c>
      <c r="AU293" t="inlineStr">
        <is>
          <t>1681559:eng</t>
        </is>
      </c>
      <c r="AV293" t="inlineStr">
        <is>
          <t>715175</t>
        </is>
      </c>
      <c r="AW293" t="inlineStr">
        <is>
          <t>991003189999702656</t>
        </is>
      </c>
      <c r="AX293" t="inlineStr">
        <is>
          <t>991003189999702656</t>
        </is>
      </c>
      <c r="AY293" t="inlineStr">
        <is>
          <t>2257049080002656</t>
        </is>
      </c>
      <c r="AZ293" t="inlineStr">
        <is>
          <t>BOOK</t>
        </is>
      </c>
      <c r="BB293" t="inlineStr">
        <is>
          <t>9780064955850</t>
        </is>
      </c>
      <c r="BC293" t="inlineStr">
        <is>
          <t>32285000879956</t>
        </is>
      </c>
      <c r="BD293" t="inlineStr">
        <is>
          <t>893604523</t>
        </is>
      </c>
    </row>
    <row r="294">
      <c r="A294" t="inlineStr">
        <is>
          <t>No</t>
        </is>
      </c>
      <c r="B294" t="inlineStr">
        <is>
          <t>PG3458.Z9 D77</t>
        </is>
      </c>
      <c r="C294" t="inlineStr">
        <is>
          <t>0                      PG 3458000Z  9                  D  77</t>
        </is>
      </c>
      <c r="D294" t="inlineStr">
        <is>
          <t>Chekhov in performance : a commentary on the major plays / [by] J. L. Styan.</t>
        </is>
      </c>
      <c r="F294" t="inlineStr">
        <is>
          <t>No</t>
        </is>
      </c>
      <c r="G294" t="inlineStr">
        <is>
          <t>1</t>
        </is>
      </c>
      <c r="H294" t="inlineStr">
        <is>
          <t>No</t>
        </is>
      </c>
      <c r="I294" t="inlineStr">
        <is>
          <t>No</t>
        </is>
      </c>
      <c r="J294" t="inlineStr">
        <is>
          <t>0</t>
        </is>
      </c>
      <c r="K294" t="inlineStr">
        <is>
          <t>Styan, J. L.</t>
        </is>
      </c>
      <c r="L294" t="inlineStr">
        <is>
          <t>Cambridge [Eng.] : University Press, 1971.</t>
        </is>
      </c>
      <c r="M294" t="inlineStr">
        <is>
          <t>1971</t>
        </is>
      </c>
      <c r="O294" t="inlineStr">
        <is>
          <t>eng</t>
        </is>
      </c>
      <c r="P294" t="inlineStr">
        <is>
          <t>enk</t>
        </is>
      </c>
      <c r="R294" t="inlineStr">
        <is>
          <t xml:space="preserve">PG </t>
        </is>
      </c>
      <c r="S294" t="n">
        <v>1</v>
      </c>
      <c r="T294" t="n">
        <v>1</v>
      </c>
      <c r="U294" t="inlineStr">
        <is>
          <t>1995-02-09</t>
        </is>
      </c>
      <c r="V294" t="inlineStr">
        <is>
          <t>1995-02-09</t>
        </is>
      </c>
      <c r="W294" t="inlineStr">
        <is>
          <t>1992-01-02</t>
        </is>
      </c>
      <c r="X294" t="inlineStr">
        <is>
          <t>1992-01-02</t>
        </is>
      </c>
      <c r="Y294" t="n">
        <v>815</v>
      </c>
      <c r="Z294" t="n">
        <v>626</v>
      </c>
      <c r="AA294" t="n">
        <v>688</v>
      </c>
      <c r="AB294" t="n">
        <v>5</v>
      </c>
      <c r="AC294" t="n">
        <v>5</v>
      </c>
      <c r="AD294" t="n">
        <v>34</v>
      </c>
      <c r="AE294" t="n">
        <v>36</v>
      </c>
      <c r="AF294" t="n">
        <v>17</v>
      </c>
      <c r="AG294" t="n">
        <v>19</v>
      </c>
      <c r="AH294" t="n">
        <v>5</v>
      </c>
      <c r="AI294" t="n">
        <v>5</v>
      </c>
      <c r="AJ294" t="n">
        <v>16</v>
      </c>
      <c r="AK294" t="n">
        <v>18</v>
      </c>
      <c r="AL294" t="n">
        <v>4</v>
      </c>
      <c r="AM294" t="n">
        <v>4</v>
      </c>
      <c r="AN294" t="n">
        <v>0</v>
      </c>
      <c r="AO294" t="n">
        <v>0</v>
      </c>
      <c r="AP294" t="inlineStr">
        <is>
          <t>No</t>
        </is>
      </c>
      <c r="AQ294" t="inlineStr">
        <is>
          <t>No</t>
        </is>
      </c>
      <c r="AS294">
        <f>HYPERLINK("https://creighton-primo.hosted.exlibrisgroup.com/primo-explore/search?tab=default_tab&amp;search_scope=EVERYTHING&amp;vid=01CRU&amp;lang=en_US&amp;offset=0&amp;query=any,contains,991000756799702656","Catalog Record")</f>
        <v/>
      </c>
      <c r="AT294">
        <f>HYPERLINK("http://www.worldcat.org/oclc/130539","WorldCat Record")</f>
        <v/>
      </c>
      <c r="AU294" t="inlineStr">
        <is>
          <t>794964504:eng</t>
        </is>
      </c>
      <c r="AV294" t="inlineStr">
        <is>
          <t>130539</t>
        </is>
      </c>
      <c r="AW294" t="inlineStr">
        <is>
          <t>991000756799702656</t>
        </is>
      </c>
      <c r="AX294" t="inlineStr">
        <is>
          <t>991000756799702656</t>
        </is>
      </c>
      <c r="AY294" t="inlineStr">
        <is>
          <t>2254836770002656</t>
        </is>
      </c>
      <c r="AZ294" t="inlineStr">
        <is>
          <t>BOOK</t>
        </is>
      </c>
      <c r="BB294" t="inlineStr">
        <is>
          <t>9780521079754</t>
        </is>
      </c>
      <c r="BC294" t="inlineStr">
        <is>
          <t>32285000879949</t>
        </is>
      </c>
      <c r="BD294" t="inlineStr">
        <is>
          <t>893690006</t>
        </is>
      </c>
    </row>
    <row r="295">
      <c r="A295" t="inlineStr">
        <is>
          <t>No</t>
        </is>
      </c>
      <c r="B295" t="inlineStr">
        <is>
          <t>PG3463 .A15 1973</t>
        </is>
      </c>
      <c r="C295" t="inlineStr">
        <is>
          <t>0                      PG 3463000A  15          1973</t>
        </is>
      </c>
      <c r="D295" t="inlineStr">
        <is>
          <t>A book of short stories, by Maxim Gorki. Edited by Avrahm Yarmolinsky and Baroness Moura Budberg.</t>
        </is>
      </c>
      <c r="F295" t="inlineStr">
        <is>
          <t>No</t>
        </is>
      </c>
      <c r="G295" t="inlineStr">
        <is>
          <t>1</t>
        </is>
      </c>
      <c r="H295" t="inlineStr">
        <is>
          <t>No</t>
        </is>
      </c>
      <c r="I295" t="inlineStr">
        <is>
          <t>No</t>
        </is>
      </c>
      <c r="J295" t="inlineStr">
        <is>
          <t>0</t>
        </is>
      </c>
      <c r="K295" t="inlineStr">
        <is>
          <t>Gorky, Maksim, 1868-1936.</t>
        </is>
      </c>
      <c r="L295" t="inlineStr">
        <is>
          <t>New York, Octagon Books, 1973 [c1939]</t>
        </is>
      </c>
      <c r="M295" t="inlineStr">
        <is>
          <t>1973</t>
        </is>
      </c>
      <c r="O295" t="inlineStr">
        <is>
          <t>eng</t>
        </is>
      </c>
      <c r="P295" t="inlineStr">
        <is>
          <t>nyu</t>
        </is>
      </c>
      <c r="R295" t="inlineStr">
        <is>
          <t xml:space="preserve">PG </t>
        </is>
      </c>
      <c r="S295" t="n">
        <v>1</v>
      </c>
      <c r="T295" t="n">
        <v>1</v>
      </c>
      <c r="U295" t="inlineStr">
        <is>
          <t>2010-03-14</t>
        </is>
      </c>
      <c r="V295" t="inlineStr">
        <is>
          <t>2010-03-14</t>
        </is>
      </c>
      <c r="W295" t="inlineStr">
        <is>
          <t>1997-09-08</t>
        </is>
      </c>
      <c r="X295" t="inlineStr">
        <is>
          <t>1997-09-08</t>
        </is>
      </c>
      <c r="Y295" t="n">
        <v>198</v>
      </c>
      <c r="Z295" t="n">
        <v>181</v>
      </c>
      <c r="AA295" t="n">
        <v>417</v>
      </c>
      <c r="AB295" t="n">
        <v>2</v>
      </c>
      <c r="AC295" t="n">
        <v>3</v>
      </c>
      <c r="AD295" t="n">
        <v>5</v>
      </c>
      <c r="AE295" t="n">
        <v>12</v>
      </c>
      <c r="AF295" t="n">
        <v>2</v>
      </c>
      <c r="AG295" t="n">
        <v>5</v>
      </c>
      <c r="AH295" t="n">
        <v>2</v>
      </c>
      <c r="AI295" t="n">
        <v>2</v>
      </c>
      <c r="AJ295" t="n">
        <v>2</v>
      </c>
      <c r="AK295" t="n">
        <v>5</v>
      </c>
      <c r="AL295" t="n">
        <v>1</v>
      </c>
      <c r="AM295" t="n">
        <v>2</v>
      </c>
      <c r="AN295" t="n">
        <v>0</v>
      </c>
      <c r="AO295" t="n">
        <v>0</v>
      </c>
      <c r="AP295" t="inlineStr">
        <is>
          <t>No</t>
        </is>
      </c>
      <c r="AQ295" t="inlineStr">
        <is>
          <t>Yes</t>
        </is>
      </c>
      <c r="AR295">
        <f>HYPERLINK("http://catalog.hathitrust.org/Record/001224820","HathiTrust Record")</f>
        <v/>
      </c>
      <c r="AS295">
        <f>HYPERLINK("https://creighton-primo.hosted.exlibrisgroup.com/primo-explore/search?tab=default_tab&amp;search_scope=EVERYTHING&amp;vid=01CRU&amp;lang=en_US&amp;offset=0&amp;query=any,contains,991002936569702656","Catalog Record")</f>
        <v/>
      </c>
      <c r="AT295">
        <f>HYPERLINK("http://www.worldcat.org/oclc/533557","WorldCat Record")</f>
        <v/>
      </c>
      <c r="AU295" t="inlineStr">
        <is>
          <t>32688714:eng</t>
        </is>
      </c>
      <c r="AV295" t="inlineStr">
        <is>
          <t>533557</t>
        </is>
      </c>
      <c r="AW295" t="inlineStr">
        <is>
          <t>991002936569702656</t>
        </is>
      </c>
      <c r="AX295" t="inlineStr">
        <is>
          <t>991002936569702656</t>
        </is>
      </c>
      <c r="AY295" t="inlineStr">
        <is>
          <t>2264447400002656</t>
        </is>
      </c>
      <c r="AZ295" t="inlineStr">
        <is>
          <t>BOOK</t>
        </is>
      </c>
      <c r="BB295" t="inlineStr">
        <is>
          <t>9780374932169</t>
        </is>
      </c>
      <c r="BC295" t="inlineStr">
        <is>
          <t>32285003199642</t>
        </is>
      </c>
      <c r="BD295" t="inlineStr">
        <is>
          <t>893704695</t>
        </is>
      </c>
    </row>
    <row r="296">
      <c r="A296" t="inlineStr">
        <is>
          <t>No</t>
        </is>
      </c>
      <c r="B296" t="inlineStr">
        <is>
          <t>PG3463 .A19 1959</t>
        </is>
      </c>
      <c r="C296" t="inlineStr">
        <is>
          <t>0                      PG 3463000A  19          1959</t>
        </is>
      </c>
      <c r="D296" t="inlineStr">
        <is>
          <t>The lower depths : and other plays / translated by Alexander Bakshy in collaboration with Paul S. Nathan.</t>
        </is>
      </c>
      <c r="F296" t="inlineStr">
        <is>
          <t>No</t>
        </is>
      </c>
      <c r="G296" t="inlineStr">
        <is>
          <t>1</t>
        </is>
      </c>
      <c r="H296" t="inlineStr">
        <is>
          <t>No</t>
        </is>
      </c>
      <c r="I296" t="inlineStr">
        <is>
          <t>Yes</t>
        </is>
      </c>
      <c r="J296" t="inlineStr">
        <is>
          <t>0</t>
        </is>
      </c>
      <c r="K296" t="inlineStr">
        <is>
          <t>Gorky, Maksim, 1868-1936.</t>
        </is>
      </c>
      <c r="M296" t="inlineStr">
        <is>
          <t>1959</t>
        </is>
      </c>
      <c r="O296" t="inlineStr">
        <is>
          <t>eng</t>
        </is>
      </c>
      <c r="P296" t="inlineStr">
        <is>
          <t>ctu</t>
        </is>
      </c>
      <c r="Q296" t="inlineStr">
        <is>
          <t>A Yale paperbound, Y-4</t>
        </is>
      </c>
      <c r="R296" t="inlineStr">
        <is>
          <t xml:space="preserve">PG </t>
        </is>
      </c>
      <c r="S296" t="n">
        <v>3</v>
      </c>
      <c r="T296" t="n">
        <v>3</v>
      </c>
      <c r="U296" t="inlineStr">
        <is>
          <t>1995-12-02</t>
        </is>
      </c>
      <c r="V296" t="inlineStr">
        <is>
          <t>1995-12-02</t>
        </is>
      </c>
      <c r="W296" t="inlineStr">
        <is>
          <t>1994-12-21</t>
        </is>
      </c>
      <c r="X296" t="inlineStr">
        <is>
          <t>1994-12-21</t>
        </is>
      </c>
      <c r="Y296" t="n">
        <v>519</v>
      </c>
      <c r="Z296" t="n">
        <v>482</v>
      </c>
      <c r="AA296" t="n">
        <v>764</v>
      </c>
      <c r="AB296" t="n">
        <v>5</v>
      </c>
      <c r="AC296" t="n">
        <v>5</v>
      </c>
      <c r="AD296" t="n">
        <v>21</v>
      </c>
      <c r="AE296" t="n">
        <v>31</v>
      </c>
      <c r="AF296" t="n">
        <v>8</v>
      </c>
      <c r="AG296" t="n">
        <v>13</v>
      </c>
      <c r="AH296" t="n">
        <v>2</v>
      </c>
      <c r="AI296" t="n">
        <v>5</v>
      </c>
      <c r="AJ296" t="n">
        <v>10</v>
      </c>
      <c r="AK296" t="n">
        <v>16</v>
      </c>
      <c r="AL296" t="n">
        <v>4</v>
      </c>
      <c r="AM296" t="n">
        <v>4</v>
      </c>
      <c r="AN296" t="n">
        <v>0</v>
      </c>
      <c r="AO296" t="n">
        <v>0</v>
      </c>
      <c r="AP296" t="inlineStr">
        <is>
          <t>No</t>
        </is>
      </c>
      <c r="AQ296" t="inlineStr">
        <is>
          <t>No</t>
        </is>
      </c>
      <c r="AS296">
        <f>HYPERLINK("https://creighton-primo.hosted.exlibrisgroup.com/primo-explore/search?tab=default_tab&amp;search_scope=EVERYTHING&amp;vid=01CRU&amp;lang=en_US&amp;offset=0&amp;query=any,contains,991004068819702656","Catalog Record")</f>
        <v/>
      </c>
      <c r="AT296">
        <f>HYPERLINK("http://www.worldcat.org/oclc/2292948","WorldCat Record")</f>
        <v/>
      </c>
      <c r="AU296" t="inlineStr">
        <is>
          <t>2973735163:eng</t>
        </is>
      </c>
      <c r="AV296" t="inlineStr">
        <is>
          <t>2292948</t>
        </is>
      </c>
      <c r="AW296" t="inlineStr">
        <is>
          <t>991004068819702656</t>
        </is>
      </c>
      <c r="AX296" t="inlineStr">
        <is>
          <t>991004068819702656</t>
        </is>
      </c>
      <c r="AY296" t="inlineStr">
        <is>
          <t>2265264470002656</t>
        </is>
      </c>
      <c r="AZ296" t="inlineStr">
        <is>
          <t>BOOK</t>
        </is>
      </c>
      <c r="BC296" t="inlineStr">
        <is>
          <t>32285001984730</t>
        </is>
      </c>
      <c r="BD296" t="inlineStr">
        <is>
          <t>893506381</t>
        </is>
      </c>
    </row>
    <row r="297">
      <c r="A297" t="inlineStr">
        <is>
          <t>No</t>
        </is>
      </c>
      <c r="B297" t="inlineStr">
        <is>
          <t>PG3463 .A19 1978</t>
        </is>
      </c>
      <c r="C297" t="inlineStr">
        <is>
          <t>0                      PG 3463000A  19          1978</t>
        </is>
      </c>
      <c r="D297" t="inlineStr">
        <is>
          <t>The lower depths, and other plays / Maxim Gorky ; translated by Alexander Bakshy, in collaboration with Paul S. Nathan.</t>
        </is>
      </c>
      <c r="F297" t="inlineStr">
        <is>
          <t>No</t>
        </is>
      </c>
      <c r="G297" t="inlineStr">
        <is>
          <t>1</t>
        </is>
      </c>
      <c r="H297" t="inlineStr">
        <is>
          <t>No</t>
        </is>
      </c>
      <c r="I297" t="inlineStr">
        <is>
          <t>Yes</t>
        </is>
      </c>
      <c r="J297" t="inlineStr">
        <is>
          <t>0</t>
        </is>
      </c>
      <c r="K297" t="inlineStr">
        <is>
          <t>Gorky, Maksim, 1868-1936.</t>
        </is>
      </c>
      <c r="L297" t="inlineStr">
        <is>
          <t>New York : AMS Press, 1978.</t>
        </is>
      </c>
      <c r="M297" t="inlineStr">
        <is>
          <t>1978</t>
        </is>
      </c>
      <c r="O297" t="inlineStr">
        <is>
          <t>eng</t>
        </is>
      </c>
      <c r="P297" t="inlineStr">
        <is>
          <t>nyu</t>
        </is>
      </c>
      <c r="R297" t="inlineStr">
        <is>
          <t xml:space="preserve">PG </t>
        </is>
      </c>
      <c r="S297" t="n">
        <v>4</v>
      </c>
      <c r="T297" t="n">
        <v>4</v>
      </c>
      <c r="U297" t="inlineStr">
        <is>
          <t>2002-10-07</t>
        </is>
      </c>
      <c r="V297" t="inlineStr">
        <is>
          <t>2002-10-07</t>
        </is>
      </c>
      <c r="W297" t="inlineStr">
        <is>
          <t>1995-01-09</t>
        </is>
      </c>
      <c r="X297" t="inlineStr">
        <is>
          <t>1995-01-09</t>
        </is>
      </c>
      <c r="Y297" t="n">
        <v>92</v>
      </c>
      <c r="Z297" t="n">
        <v>85</v>
      </c>
      <c r="AA297" t="n">
        <v>764</v>
      </c>
      <c r="AB297" t="n">
        <v>1</v>
      </c>
      <c r="AC297" t="n">
        <v>5</v>
      </c>
      <c r="AD297" t="n">
        <v>4</v>
      </c>
      <c r="AE297" t="n">
        <v>31</v>
      </c>
      <c r="AF297" t="n">
        <v>2</v>
      </c>
      <c r="AG297" t="n">
        <v>13</v>
      </c>
      <c r="AH297" t="n">
        <v>1</v>
      </c>
      <c r="AI297" t="n">
        <v>5</v>
      </c>
      <c r="AJ297" t="n">
        <v>3</v>
      </c>
      <c r="AK297" t="n">
        <v>16</v>
      </c>
      <c r="AL297" t="n">
        <v>0</v>
      </c>
      <c r="AM297" t="n">
        <v>4</v>
      </c>
      <c r="AN297" t="n">
        <v>0</v>
      </c>
      <c r="AO297" t="n">
        <v>0</v>
      </c>
      <c r="AP297" t="inlineStr">
        <is>
          <t>No</t>
        </is>
      </c>
      <c r="AQ297" t="inlineStr">
        <is>
          <t>No</t>
        </is>
      </c>
      <c r="AS297">
        <f>HYPERLINK("https://creighton-primo.hosted.exlibrisgroup.com/primo-explore/search?tab=default_tab&amp;search_scope=EVERYTHING&amp;vid=01CRU&amp;lang=en_US&amp;offset=0&amp;query=any,contains,991004454809702656","Catalog Record")</f>
        <v/>
      </c>
      <c r="AT297">
        <f>HYPERLINK("http://www.worldcat.org/oclc/3518486","WorldCat Record")</f>
        <v/>
      </c>
      <c r="AU297" t="inlineStr">
        <is>
          <t>2973735163:eng</t>
        </is>
      </c>
      <c r="AV297" t="inlineStr">
        <is>
          <t>3518486</t>
        </is>
      </c>
      <c r="AW297" t="inlineStr">
        <is>
          <t>991004454809702656</t>
        </is>
      </c>
      <c r="AX297" t="inlineStr">
        <is>
          <t>991004454809702656</t>
        </is>
      </c>
      <c r="AY297" t="inlineStr">
        <is>
          <t>2271697880002656</t>
        </is>
      </c>
      <c r="AZ297" t="inlineStr">
        <is>
          <t>BOOK</t>
        </is>
      </c>
      <c r="BB297" t="inlineStr">
        <is>
          <t>9780404147730</t>
        </is>
      </c>
      <c r="BC297" t="inlineStr">
        <is>
          <t>32285001991388</t>
        </is>
      </c>
      <c r="BD297" t="inlineStr">
        <is>
          <t>893319241</t>
        </is>
      </c>
    </row>
    <row r="298">
      <c r="A298" t="inlineStr">
        <is>
          <t>No</t>
        </is>
      </c>
      <c r="B298" t="inlineStr">
        <is>
          <t>PG3463.N2 H6</t>
        </is>
      </c>
      <c r="C298" t="inlineStr">
        <is>
          <t>0                      PG 3463000N  2                  H  6</t>
        </is>
      </c>
      <c r="D298" t="inlineStr">
        <is>
          <t>The lower depths (Nachtasyl) : scenes from Russian life / by Maxim Gorki. Translated from the Russian by Edwin Hopkins.</t>
        </is>
      </c>
      <c r="F298" t="inlineStr">
        <is>
          <t>No</t>
        </is>
      </c>
      <c r="G298" t="inlineStr">
        <is>
          <t>1</t>
        </is>
      </c>
      <c r="H298" t="inlineStr">
        <is>
          <t>No</t>
        </is>
      </c>
      <c r="I298" t="inlineStr">
        <is>
          <t>No</t>
        </is>
      </c>
      <c r="J298" t="inlineStr">
        <is>
          <t>0</t>
        </is>
      </c>
      <c r="K298" t="inlineStr">
        <is>
          <t>Gorky, Maksim, 1868-1936.</t>
        </is>
      </c>
      <c r="L298" t="inlineStr">
        <is>
          <t>Boston : International Pocket Library, [c1906]</t>
        </is>
      </c>
      <c r="M298" t="inlineStr">
        <is>
          <t>1906</t>
        </is>
      </c>
      <c r="O298" t="inlineStr">
        <is>
          <t>eng</t>
        </is>
      </c>
      <c r="P298" t="inlineStr">
        <is>
          <t>mau</t>
        </is>
      </c>
      <c r="R298" t="inlineStr">
        <is>
          <t xml:space="preserve">PG </t>
        </is>
      </c>
      <c r="S298" t="n">
        <v>6</v>
      </c>
      <c r="T298" t="n">
        <v>6</v>
      </c>
      <c r="U298" t="inlineStr">
        <is>
          <t>1994-12-02</t>
        </is>
      </c>
      <c r="V298" t="inlineStr">
        <is>
          <t>1994-12-02</t>
        </is>
      </c>
      <c r="W298" t="inlineStr">
        <is>
          <t>1994-01-14</t>
        </is>
      </c>
      <c r="X298" t="inlineStr">
        <is>
          <t>1994-01-14</t>
        </is>
      </c>
      <c r="Y298" t="n">
        <v>22</v>
      </c>
      <c r="Z298" t="n">
        <v>19</v>
      </c>
      <c r="AA298" t="n">
        <v>52</v>
      </c>
      <c r="AB298" t="n">
        <v>1</v>
      </c>
      <c r="AC298" t="n">
        <v>1</v>
      </c>
      <c r="AD298" t="n">
        <v>1</v>
      </c>
      <c r="AE298" t="n">
        <v>3</v>
      </c>
      <c r="AF298" t="n">
        <v>0</v>
      </c>
      <c r="AG298" t="n">
        <v>0</v>
      </c>
      <c r="AH298" t="n">
        <v>0</v>
      </c>
      <c r="AI298" t="n">
        <v>1</v>
      </c>
      <c r="AJ298" t="n">
        <v>1</v>
      </c>
      <c r="AK298" t="n">
        <v>2</v>
      </c>
      <c r="AL298" t="n">
        <v>0</v>
      </c>
      <c r="AM298" t="n">
        <v>0</v>
      </c>
      <c r="AN298" t="n">
        <v>0</v>
      </c>
      <c r="AO298" t="n">
        <v>0</v>
      </c>
      <c r="AP298" t="inlineStr">
        <is>
          <t>No</t>
        </is>
      </c>
      <c r="AQ298" t="inlineStr">
        <is>
          <t>No</t>
        </is>
      </c>
      <c r="AS298">
        <f>HYPERLINK("https://creighton-primo.hosted.exlibrisgroup.com/primo-explore/search?tab=default_tab&amp;search_scope=EVERYTHING&amp;vid=01CRU&amp;lang=en_US&amp;offset=0&amp;query=any,contains,991004932769702656","Catalog Record")</f>
        <v/>
      </c>
      <c r="AT298">
        <f>HYPERLINK("http://www.worldcat.org/oclc/6111859","WorldCat Record")</f>
        <v/>
      </c>
      <c r="AU298" t="inlineStr">
        <is>
          <t>3856321209:eng</t>
        </is>
      </c>
      <c r="AV298" t="inlineStr">
        <is>
          <t>6111859</t>
        </is>
      </c>
      <c r="AW298" t="inlineStr">
        <is>
          <t>991004932769702656</t>
        </is>
      </c>
      <c r="AX298" t="inlineStr">
        <is>
          <t>991004932769702656</t>
        </is>
      </c>
      <c r="AY298" t="inlineStr">
        <is>
          <t>2255016370002656</t>
        </is>
      </c>
      <c r="AZ298" t="inlineStr">
        <is>
          <t>BOOK</t>
        </is>
      </c>
      <c r="BC298" t="inlineStr">
        <is>
          <t>32285001829745</t>
        </is>
      </c>
      <c r="BD298" t="inlineStr">
        <is>
          <t>893443208</t>
        </is>
      </c>
    </row>
    <row r="299">
      <c r="A299" t="inlineStr">
        <is>
          <t>No</t>
        </is>
      </c>
      <c r="B299" t="inlineStr">
        <is>
          <t>PG3465 .A2 1956</t>
        </is>
      </c>
      <c r="C299" t="inlineStr">
        <is>
          <t>0                      PG 3465000A  2           1956</t>
        </is>
      </c>
      <c r="D299" t="inlineStr">
        <is>
          <t>Detstvo. V li͡udi͡akh. Moi universitety.</t>
        </is>
      </c>
      <c r="F299" t="inlineStr">
        <is>
          <t>No</t>
        </is>
      </c>
      <c r="G299" t="inlineStr">
        <is>
          <t>1</t>
        </is>
      </c>
      <c r="H299" t="inlineStr">
        <is>
          <t>No</t>
        </is>
      </c>
      <c r="I299" t="inlineStr">
        <is>
          <t>No</t>
        </is>
      </c>
      <c r="J299" t="inlineStr">
        <is>
          <t>0</t>
        </is>
      </c>
      <c r="K299" t="inlineStr">
        <is>
          <t>Gorky, Maksim, 1868-1936.</t>
        </is>
      </c>
      <c r="L299" t="inlineStr">
        <is>
          <t>[Moskva] Moskovskiĭ rabochiĭ, 1956.</t>
        </is>
      </c>
      <c r="M299" t="inlineStr">
        <is>
          <t>1956</t>
        </is>
      </c>
      <c r="O299" t="inlineStr">
        <is>
          <t>rus</t>
        </is>
      </c>
      <c r="P299" t="inlineStr">
        <is>
          <t xml:space="preserve">ru </t>
        </is>
      </c>
      <c r="R299" t="inlineStr">
        <is>
          <t xml:space="preserve">PG </t>
        </is>
      </c>
      <c r="S299" t="n">
        <v>1</v>
      </c>
      <c r="T299" t="n">
        <v>1</v>
      </c>
      <c r="U299" t="inlineStr">
        <is>
          <t>2001-10-27</t>
        </is>
      </c>
      <c r="V299" t="inlineStr">
        <is>
          <t>2001-10-27</t>
        </is>
      </c>
      <c r="W299" t="inlineStr">
        <is>
          <t>1997-09-08</t>
        </is>
      </c>
      <c r="X299" t="inlineStr">
        <is>
          <t>1997-09-08</t>
        </is>
      </c>
      <c r="Y299" t="n">
        <v>22</v>
      </c>
      <c r="Z299" t="n">
        <v>13</v>
      </c>
      <c r="AA299" t="n">
        <v>149</v>
      </c>
      <c r="AB299" t="n">
        <v>1</v>
      </c>
      <c r="AC299" t="n">
        <v>2</v>
      </c>
      <c r="AD299" t="n">
        <v>2</v>
      </c>
      <c r="AE299" t="n">
        <v>10</v>
      </c>
      <c r="AF299" t="n">
        <v>1</v>
      </c>
      <c r="AG299" t="n">
        <v>4</v>
      </c>
      <c r="AH299" t="n">
        <v>0</v>
      </c>
      <c r="AI299" t="n">
        <v>2</v>
      </c>
      <c r="AJ299" t="n">
        <v>1</v>
      </c>
      <c r="AK299" t="n">
        <v>5</v>
      </c>
      <c r="AL299" t="n">
        <v>0</v>
      </c>
      <c r="AM299" t="n">
        <v>1</v>
      </c>
      <c r="AN299" t="n">
        <v>0</v>
      </c>
      <c r="AO299" t="n">
        <v>0</v>
      </c>
      <c r="AP299" t="inlineStr">
        <is>
          <t>No</t>
        </is>
      </c>
      <c r="AQ299" t="inlineStr">
        <is>
          <t>No</t>
        </is>
      </c>
      <c r="AS299">
        <f>HYPERLINK("https://creighton-primo.hosted.exlibrisgroup.com/primo-explore/search?tab=default_tab&amp;search_scope=EVERYTHING&amp;vid=01CRU&amp;lang=en_US&amp;offset=0&amp;query=any,contains,991000985319702656","Catalog Record")</f>
        <v/>
      </c>
      <c r="AT299">
        <f>HYPERLINK("http://www.worldcat.org/oclc/15074247","WorldCat Record")</f>
        <v/>
      </c>
      <c r="AU299" t="inlineStr">
        <is>
          <t>3372999633:rus</t>
        </is>
      </c>
      <c r="AV299" t="inlineStr">
        <is>
          <t>15074247</t>
        </is>
      </c>
      <c r="AW299" t="inlineStr">
        <is>
          <t>991000985319702656</t>
        </is>
      </c>
      <c r="AX299" t="inlineStr">
        <is>
          <t>991000985319702656</t>
        </is>
      </c>
      <c r="AY299" t="inlineStr">
        <is>
          <t>2254819970002656</t>
        </is>
      </c>
      <c r="AZ299" t="inlineStr">
        <is>
          <t>BOOK</t>
        </is>
      </c>
      <c r="BC299" t="inlineStr">
        <is>
          <t>32285003199691</t>
        </is>
      </c>
      <c r="BD299" t="inlineStr">
        <is>
          <t>893715065</t>
        </is>
      </c>
    </row>
    <row r="300">
      <c r="A300" t="inlineStr">
        <is>
          <t>No</t>
        </is>
      </c>
      <c r="B300" t="inlineStr">
        <is>
          <t>PG3465 .A3</t>
        </is>
      </c>
      <c r="C300" t="inlineStr">
        <is>
          <t>0                      PG 3465000A  3</t>
        </is>
      </c>
      <c r="D300" t="inlineStr">
        <is>
          <t>The autobiography of Maxim Gorky / Maxim Gorky; with a new introduction by Avrahm Yarmolinsky.</t>
        </is>
      </c>
      <c r="F300" t="inlineStr">
        <is>
          <t>No</t>
        </is>
      </c>
      <c r="G300" t="inlineStr">
        <is>
          <t>1</t>
        </is>
      </c>
      <c r="H300" t="inlineStr">
        <is>
          <t>No</t>
        </is>
      </c>
      <c r="I300" t="inlineStr">
        <is>
          <t>No</t>
        </is>
      </c>
      <c r="J300" t="inlineStr">
        <is>
          <t>0</t>
        </is>
      </c>
      <c r="K300" t="inlineStr">
        <is>
          <t>Gorky, Maksim, 1868-1936.</t>
        </is>
      </c>
      <c r="L300" t="inlineStr">
        <is>
          <t>New York : Collier Books, [c1962]</t>
        </is>
      </c>
      <c r="M300" t="inlineStr">
        <is>
          <t>1962</t>
        </is>
      </c>
      <c r="O300" t="inlineStr">
        <is>
          <t>eng</t>
        </is>
      </c>
      <c r="P300" t="inlineStr">
        <is>
          <t>nyu</t>
        </is>
      </c>
      <c r="R300" t="inlineStr">
        <is>
          <t xml:space="preserve">PG </t>
        </is>
      </c>
      <c r="S300" t="n">
        <v>2</v>
      </c>
      <c r="T300" t="n">
        <v>2</v>
      </c>
      <c r="U300" t="inlineStr">
        <is>
          <t>2001-04-23</t>
        </is>
      </c>
      <c r="V300" t="inlineStr">
        <is>
          <t>2001-04-23</t>
        </is>
      </c>
      <c r="W300" t="inlineStr">
        <is>
          <t>1997-09-08</t>
        </is>
      </c>
      <c r="X300" t="inlineStr">
        <is>
          <t>1997-09-08</t>
        </is>
      </c>
      <c r="Y300" t="n">
        <v>207</v>
      </c>
      <c r="Z300" t="n">
        <v>192</v>
      </c>
      <c r="AA300" t="n">
        <v>199</v>
      </c>
      <c r="AB300" t="n">
        <v>5</v>
      </c>
      <c r="AC300" t="n">
        <v>5</v>
      </c>
      <c r="AD300" t="n">
        <v>9</v>
      </c>
      <c r="AE300" t="n">
        <v>9</v>
      </c>
      <c r="AF300" t="n">
        <v>3</v>
      </c>
      <c r="AG300" t="n">
        <v>3</v>
      </c>
      <c r="AH300" t="n">
        <v>1</v>
      </c>
      <c r="AI300" t="n">
        <v>1</v>
      </c>
      <c r="AJ300" t="n">
        <v>4</v>
      </c>
      <c r="AK300" t="n">
        <v>4</v>
      </c>
      <c r="AL300" t="n">
        <v>3</v>
      </c>
      <c r="AM300" t="n">
        <v>3</v>
      </c>
      <c r="AN300" t="n">
        <v>0</v>
      </c>
      <c r="AO300" t="n">
        <v>0</v>
      </c>
      <c r="AP300" t="inlineStr">
        <is>
          <t>No</t>
        </is>
      </c>
      <c r="AQ300" t="inlineStr">
        <is>
          <t>Yes</t>
        </is>
      </c>
      <c r="AR300">
        <f>HYPERLINK("http://catalog.hathitrust.org/Record/000980891","HathiTrust Record")</f>
        <v/>
      </c>
      <c r="AS300">
        <f>HYPERLINK("https://creighton-primo.hosted.exlibrisgroup.com/primo-explore/search?tab=default_tab&amp;search_scope=EVERYTHING&amp;vid=01CRU&amp;lang=en_US&amp;offset=0&amp;query=any,contains,991001155259702656","Catalog Record")</f>
        <v/>
      </c>
      <c r="AT300">
        <f>HYPERLINK("http://www.worldcat.org/oclc/16835927","WorldCat Record")</f>
        <v/>
      </c>
      <c r="AU300" t="inlineStr">
        <is>
          <t>8907372090:eng</t>
        </is>
      </c>
      <c r="AV300" t="inlineStr">
        <is>
          <t>16835927</t>
        </is>
      </c>
      <c r="AW300" t="inlineStr">
        <is>
          <t>991001155259702656</t>
        </is>
      </c>
      <c r="AX300" t="inlineStr">
        <is>
          <t>991001155259702656</t>
        </is>
      </c>
      <c r="AY300" t="inlineStr">
        <is>
          <t>2262191280002656</t>
        </is>
      </c>
      <c r="AZ300" t="inlineStr">
        <is>
          <t>BOOK</t>
        </is>
      </c>
      <c r="BC300" t="inlineStr">
        <is>
          <t>32285003199709</t>
        </is>
      </c>
      <c r="BD300" t="inlineStr">
        <is>
          <t>893256058</t>
        </is>
      </c>
    </row>
    <row r="301">
      <c r="A301" t="inlineStr">
        <is>
          <t>No</t>
        </is>
      </c>
      <c r="B301" t="inlineStr">
        <is>
          <t>PG3465 .S34 1988</t>
        </is>
      </c>
      <c r="C301" t="inlineStr">
        <is>
          <t>0                      PG 3465000S  34          1988</t>
        </is>
      </c>
      <c r="D301" t="inlineStr">
        <is>
          <t>Maxim Gorky / by Barry P. Scherr.</t>
        </is>
      </c>
      <c r="F301" t="inlineStr">
        <is>
          <t>No</t>
        </is>
      </c>
      <c r="G301" t="inlineStr">
        <is>
          <t>1</t>
        </is>
      </c>
      <c r="H301" t="inlineStr">
        <is>
          <t>No</t>
        </is>
      </c>
      <c r="I301" t="inlineStr">
        <is>
          <t>No</t>
        </is>
      </c>
      <c r="J301" t="inlineStr">
        <is>
          <t>0</t>
        </is>
      </c>
      <c r="K301" t="inlineStr">
        <is>
          <t>Scherr, Barry P.</t>
        </is>
      </c>
      <c r="L301" t="inlineStr">
        <is>
          <t>Boston : Twayne, c1988.</t>
        </is>
      </c>
      <c r="M301" t="inlineStr">
        <is>
          <t>1988</t>
        </is>
      </c>
      <c r="O301" t="inlineStr">
        <is>
          <t>eng</t>
        </is>
      </c>
      <c r="P301" t="inlineStr">
        <is>
          <t>mau</t>
        </is>
      </c>
      <c r="Q301" t="inlineStr">
        <is>
          <t>Twayne's world authors series ; TWAS 781. Russian literature</t>
        </is>
      </c>
      <c r="R301" t="inlineStr">
        <is>
          <t xml:space="preserve">PG </t>
        </is>
      </c>
      <c r="S301" t="n">
        <v>0</v>
      </c>
      <c r="T301" t="n">
        <v>0</v>
      </c>
      <c r="U301" t="inlineStr">
        <is>
          <t>2006-09-11</t>
        </is>
      </c>
      <c r="V301" t="inlineStr">
        <is>
          <t>2006-09-11</t>
        </is>
      </c>
      <c r="W301" t="inlineStr">
        <is>
          <t>1993-04-28</t>
        </is>
      </c>
      <c r="X301" t="inlineStr">
        <is>
          <t>1993-04-28</t>
        </is>
      </c>
      <c r="Y301" t="n">
        <v>581</v>
      </c>
      <c r="Z301" t="n">
        <v>512</v>
      </c>
      <c r="AA301" t="n">
        <v>601</v>
      </c>
      <c r="AB301" t="n">
        <v>3</v>
      </c>
      <c r="AC301" t="n">
        <v>3</v>
      </c>
      <c r="AD301" t="n">
        <v>21</v>
      </c>
      <c r="AE301" t="n">
        <v>23</v>
      </c>
      <c r="AF301" t="n">
        <v>6</v>
      </c>
      <c r="AG301" t="n">
        <v>7</v>
      </c>
      <c r="AH301" t="n">
        <v>5</v>
      </c>
      <c r="AI301" t="n">
        <v>5</v>
      </c>
      <c r="AJ301" t="n">
        <v>13</v>
      </c>
      <c r="AK301" t="n">
        <v>14</v>
      </c>
      <c r="AL301" t="n">
        <v>2</v>
      </c>
      <c r="AM301" t="n">
        <v>2</v>
      </c>
      <c r="AN301" t="n">
        <v>0</v>
      </c>
      <c r="AO301" t="n">
        <v>0</v>
      </c>
      <c r="AP301" t="inlineStr">
        <is>
          <t>No</t>
        </is>
      </c>
      <c r="AQ301" t="inlineStr">
        <is>
          <t>Yes</t>
        </is>
      </c>
      <c r="AR301">
        <f>HYPERLINK("http://catalog.hathitrust.org/Record/000874237","HathiTrust Record")</f>
        <v/>
      </c>
      <c r="AS301">
        <f>HYPERLINK("https://creighton-primo.hosted.exlibrisgroup.com/primo-explore/search?tab=default_tab&amp;search_scope=EVERYTHING&amp;vid=01CRU&amp;lang=en_US&amp;offset=0&amp;query=any,contains,991001101179702656","Catalog Record")</f>
        <v/>
      </c>
      <c r="AT301">
        <f>HYPERLINK("http://www.worldcat.org/oclc/16353214","WorldCat Record")</f>
        <v/>
      </c>
      <c r="AU301" t="inlineStr">
        <is>
          <t>11877478:eng</t>
        </is>
      </c>
      <c r="AV301" t="inlineStr">
        <is>
          <t>16353214</t>
        </is>
      </c>
      <c r="AW301" t="inlineStr">
        <is>
          <t>991001101179702656</t>
        </is>
      </c>
      <c r="AX301" t="inlineStr">
        <is>
          <t>991001101179702656</t>
        </is>
      </c>
      <c r="AY301" t="inlineStr">
        <is>
          <t>2256445710002656</t>
        </is>
      </c>
      <c r="AZ301" t="inlineStr">
        <is>
          <t>BOOK</t>
        </is>
      </c>
      <c r="BB301" t="inlineStr">
        <is>
          <t>9780805766363</t>
        </is>
      </c>
      <c r="BC301" t="inlineStr">
        <is>
          <t>32285001649549</t>
        </is>
      </c>
      <c r="BD301" t="inlineStr">
        <is>
          <t>893243857</t>
        </is>
      </c>
    </row>
    <row r="302">
      <c r="A302" t="inlineStr">
        <is>
          <t>No</t>
        </is>
      </c>
      <c r="B302" t="inlineStr">
        <is>
          <t>PG3470.T4 T8</t>
        </is>
      </c>
      <c r="C302" t="inlineStr">
        <is>
          <t>0                      PG 3470000T  4                  T  8</t>
        </is>
      </c>
      <c r="D302" t="inlineStr">
        <is>
          <t>The created legend / by Feodor Sologub [i.e. F. K. Teternikov] ; authorized translation from the Russian by John Cournos.</t>
        </is>
      </c>
      <c r="F302" t="inlineStr">
        <is>
          <t>No</t>
        </is>
      </c>
      <c r="G302" t="inlineStr">
        <is>
          <t>1</t>
        </is>
      </c>
      <c r="H302" t="inlineStr">
        <is>
          <t>No</t>
        </is>
      </c>
      <c r="I302" t="inlineStr">
        <is>
          <t>No</t>
        </is>
      </c>
      <c r="J302" t="inlineStr">
        <is>
          <t>0</t>
        </is>
      </c>
      <c r="K302" t="inlineStr">
        <is>
          <t>Sologub, Fyodor, 1863-1927.</t>
        </is>
      </c>
      <c r="L302" t="inlineStr">
        <is>
          <t>Westport, Conn. : Greenwood Press, 1975.</t>
        </is>
      </c>
      <c r="M302" t="inlineStr">
        <is>
          <t>1975</t>
        </is>
      </c>
      <c r="O302" t="inlineStr">
        <is>
          <t>eng</t>
        </is>
      </c>
      <c r="P302" t="inlineStr">
        <is>
          <t>ctu</t>
        </is>
      </c>
      <c r="R302" t="inlineStr">
        <is>
          <t xml:space="preserve">PG </t>
        </is>
      </c>
      <c r="S302" t="n">
        <v>1</v>
      </c>
      <c r="T302" t="n">
        <v>1</v>
      </c>
      <c r="U302" t="inlineStr">
        <is>
          <t>2001-10-31</t>
        </is>
      </c>
      <c r="V302" t="inlineStr">
        <is>
          <t>2001-10-31</t>
        </is>
      </c>
      <c r="W302" t="inlineStr">
        <is>
          <t>1997-09-08</t>
        </is>
      </c>
      <c r="X302" t="inlineStr">
        <is>
          <t>1997-09-08</t>
        </is>
      </c>
      <c r="Y302" t="n">
        <v>108</v>
      </c>
      <c r="Z302" t="n">
        <v>98</v>
      </c>
      <c r="AA302" t="n">
        <v>518</v>
      </c>
      <c r="AB302" t="n">
        <v>1</v>
      </c>
      <c r="AC302" t="n">
        <v>2</v>
      </c>
      <c r="AD302" t="n">
        <v>3</v>
      </c>
      <c r="AE302" t="n">
        <v>23</v>
      </c>
      <c r="AF302" t="n">
        <v>1</v>
      </c>
      <c r="AG302" t="n">
        <v>10</v>
      </c>
      <c r="AH302" t="n">
        <v>2</v>
      </c>
      <c r="AI302" t="n">
        <v>8</v>
      </c>
      <c r="AJ302" t="n">
        <v>2</v>
      </c>
      <c r="AK302" t="n">
        <v>10</v>
      </c>
      <c r="AL302" t="n">
        <v>0</v>
      </c>
      <c r="AM302" t="n">
        <v>1</v>
      </c>
      <c r="AN302" t="n">
        <v>0</v>
      </c>
      <c r="AO302" t="n">
        <v>0</v>
      </c>
      <c r="AP302" t="inlineStr">
        <is>
          <t>No</t>
        </is>
      </c>
      <c r="AQ302" t="inlineStr">
        <is>
          <t>Yes</t>
        </is>
      </c>
      <c r="AR302">
        <f>HYPERLINK("http://catalog.hathitrust.org/Record/012202855","HathiTrust Record")</f>
        <v/>
      </c>
      <c r="AS302">
        <f>HYPERLINK("https://creighton-primo.hosted.exlibrisgroup.com/primo-explore/search?tab=default_tab&amp;search_scope=EVERYTHING&amp;vid=01CRU&amp;lang=en_US&amp;offset=0&amp;query=any,contains,991003690729702656","Catalog Record")</f>
        <v/>
      </c>
      <c r="AT302">
        <f>HYPERLINK("http://www.worldcat.org/oclc/1322104","WorldCat Record")</f>
        <v/>
      </c>
      <c r="AU302" t="inlineStr">
        <is>
          <t>9415515583:eng</t>
        </is>
      </c>
      <c r="AV302" t="inlineStr">
        <is>
          <t>1322104</t>
        </is>
      </c>
      <c r="AW302" t="inlineStr">
        <is>
          <t>991003690729702656</t>
        </is>
      </c>
      <c r="AX302" t="inlineStr">
        <is>
          <t>991003690729702656</t>
        </is>
      </c>
      <c r="AY302" t="inlineStr">
        <is>
          <t>2254997850002656</t>
        </is>
      </c>
      <c r="AZ302" t="inlineStr">
        <is>
          <t>BOOK</t>
        </is>
      </c>
      <c r="BB302" t="inlineStr">
        <is>
          <t>9780837177144</t>
        </is>
      </c>
      <c r="BC302" t="inlineStr">
        <is>
          <t>32285003199832</t>
        </is>
      </c>
      <c r="BD302" t="inlineStr">
        <is>
          <t>893525108</t>
        </is>
      </c>
    </row>
    <row r="303">
      <c r="A303" t="inlineStr">
        <is>
          <t>No</t>
        </is>
      </c>
      <c r="B303" t="inlineStr">
        <is>
          <t>PG3470.U84 S8</t>
        </is>
      </c>
      <c r="C303" t="inlineStr">
        <is>
          <t>0                      PG 3470000U  84                 S  8</t>
        </is>
      </c>
      <c r="D303" t="inlineStr">
        <is>
          <t>Strange life of Ivan Osokin / by P. D. Ouspensky.</t>
        </is>
      </c>
      <c r="F303" t="inlineStr">
        <is>
          <t>No</t>
        </is>
      </c>
      <c r="G303" t="inlineStr">
        <is>
          <t>1</t>
        </is>
      </c>
      <c r="H303" t="inlineStr">
        <is>
          <t>No</t>
        </is>
      </c>
      <c r="I303" t="inlineStr">
        <is>
          <t>No</t>
        </is>
      </c>
      <c r="J303" t="inlineStr">
        <is>
          <t>0</t>
        </is>
      </c>
      <c r="K303" t="inlineStr">
        <is>
          <t>Uspenskiĭ, P. D. (Petr Demʹi︠a︡novich), 1878-1947.</t>
        </is>
      </c>
      <c r="L303" t="inlineStr">
        <is>
          <t>Baltimore, Penguin [1973]</t>
        </is>
      </c>
      <c r="M303" t="inlineStr">
        <is>
          <t>1973</t>
        </is>
      </c>
      <c r="O303" t="inlineStr">
        <is>
          <t>eng</t>
        </is>
      </c>
      <c r="P303" t="inlineStr">
        <is>
          <t xml:space="preserve">xx </t>
        </is>
      </c>
      <c r="Q303" t="inlineStr">
        <is>
          <t>The Penguin metaphysical library</t>
        </is>
      </c>
      <c r="R303" t="inlineStr">
        <is>
          <t xml:space="preserve">PG </t>
        </is>
      </c>
      <c r="S303" t="n">
        <v>1</v>
      </c>
      <c r="T303" t="n">
        <v>1</v>
      </c>
      <c r="U303" t="inlineStr">
        <is>
          <t>2000-11-16</t>
        </is>
      </c>
      <c r="V303" t="inlineStr">
        <is>
          <t>2000-11-16</t>
        </is>
      </c>
      <c r="W303" t="inlineStr">
        <is>
          <t>1997-09-08</t>
        </is>
      </c>
      <c r="X303" t="inlineStr">
        <is>
          <t>1997-09-08</t>
        </is>
      </c>
      <c r="Y303" t="n">
        <v>44</v>
      </c>
      <c r="Z303" t="n">
        <v>44</v>
      </c>
      <c r="AA303" t="n">
        <v>328</v>
      </c>
      <c r="AB303" t="n">
        <v>2</v>
      </c>
      <c r="AC303" t="n">
        <v>3</v>
      </c>
      <c r="AD303" t="n">
        <v>2</v>
      </c>
      <c r="AE303" t="n">
        <v>15</v>
      </c>
      <c r="AF303" t="n">
        <v>0</v>
      </c>
      <c r="AG303" t="n">
        <v>6</v>
      </c>
      <c r="AH303" t="n">
        <v>1</v>
      </c>
      <c r="AI303" t="n">
        <v>5</v>
      </c>
      <c r="AJ303" t="n">
        <v>0</v>
      </c>
      <c r="AK303" t="n">
        <v>6</v>
      </c>
      <c r="AL303" t="n">
        <v>1</v>
      </c>
      <c r="AM303" t="n">
        <v>2</v>
      </c>
      <c r="AN303" t="n">
        <v>0</v>
      </c>
      <c r="AO303" t="n">
        <v>0</v>
      </c>
      <c r="AP303" t="inlineStr">
        <is>
          <t>No</t>
        </is>
      </c>
      <c r="AQ303" t="inlineStr">
        <is>
          <t>No</t>
        </is>
      </c>
      <c r="AS303">
        <f>HYPERLINK("https://creighton-primo.hosted.exlibrisgroup.com/primo-explore/search?tab=default_tab&amp;search_scope=EVERYTHING&amp;vid=01CRU&amp;lang=en_US&amp;offset=0&amp;query=any,contains,991003604289702656","Catalog Record")</f>
        <v/>
      </c>
      <c r="AT303">
        <f>HYPERLINK("http://www.worldcat.org/oclc/1183645","WorldCat Record")</f>
        <v/>
      </c>
      <c r="AU303" t="inlineStr">
        <is>
          <t>41170129:eng</t>
        </is>
      </c>
      <c r="AV303" t="inlineStr">
        <is>
          <t>1183645</t>
        </is>
      </c>
      <c r="AW303" t="inlineStr">
        <is>
          <t>991003604289702656</t>
        </is>
      </c>
      <c r="AX303" t="inlineStr">
        <is>
          <t>991003604289702656</t>
        </is>
      </c>
      <c r="AY303" t="inlineStr">
        <is>
          <t>2267714920002656</t>
        </is>
      </c>
      <c r="AZ303" t="inlineStr">
        <is>
          <t>BOOK</t>
        </is>
      </c>
      <c r="BC303" t="inlineStr">
        <is>
          <t>32285003167854</t>
        </is>
      </c>
      <c r="BD303" t="inlineStr">
        <is>
          <t>893505757</t>
        </is>
      </c>
    </row>
    <row r="304">
      <c r="A304" t="inlineStr">
        <is>
          <t>No</t>
        </is>
      </c>
      <c r="B304" t="inlineStr">
        <is>
          <t>PG3476 .A324 A17 1990 V2</t>
        </is>
      </c>
      <c r="C304" t="inlineStr">
        <is>
          <t>0                      PG 3476000A  324                A  17          1990   V  2</t>
        </is>
      </c>
      <c r="D304" t="inlineStr">
        <is>
          <t>The complete poems of Anna Akhmatova / translated by Judith Hemschemeyer ; edited and with an introduction by Roberta Reeder.</t>
        </is>
      </c>
      <c r="F304" t="inlineStr">
        <is>
          <t>Yes</t>
        </is>
      </c>
      <c r="G304" t="inlineStr">
        <is>
          <t>1</t>
        </is>
      </c>
      <c r="H304" t="inlineStr">
        <is>
          <t>Yes</t>
        </is>
      </c>
      <c r="I304" t="inlineStr">
        <is>
          <t>No</t>
        </is>
      </c>
      <c r="J304" t="inlineStr">
        <is>
          <t>0</t>
        </is>
      </c>
      <c r="K304" t="inlineStr">
        <is>
          <t>Akhmatova, Anna Andreevna, 1889-1966.</t>
        </is>
      </c>
      <c r="L304" t="inlineStr">
        <is>
          <t>Somerville, Mass., U.S.A. : Zephyr Press, 1990, c1989.</t>
        </is>
      </c>
      <c r="M304" t="inlineStr">
        <is>
          <t>1990</t>
        </is>
      </c>
      <c r="O304" t="inlineStr">
        <is>
          <t>eng</t>
        </is>
      </c>
      <c r="P304" t="inlineStr">
        <is>
          <t>mau</t>
        </is>
      </c>
      <c r="R304" t="inlineStr">
        <is>
          <t xml:space="preserve">PG </t>
        </is>
      </c>
      <c r="S304" t="n">
        <v>8</v>
      </c>
      <c r="T304" t="n">
        <v>12</v>
      </c>
      <c r="U304" t="inlineStr">
        <is>
          <t>1998-09-28</t>
        </is>
      </c>
      <c r="V304" t="inlineStr">
        <is>
          <t>1998-09-28</t>
        </is>
      </c>
      <c r="W304" t="inlineStr">
        <is>
          <t>1991-06-06</t>
        </is>
      </c>
      <c r="X304" t="inlineStr">
        <is>
          <t>1991-06-06</t>
        </is>
      </c>
      <c r="Y304" t="n">
        <v>578</v>
      </c>
      <c r="Z304" t="n">
        <v>519</v>
      </c>
      <c r="AA304" t="n">
        <v>925</v>
      </c>
      <c r="AB304" t="n">
        <v>4</v>
      </c>
      <c r="AC304" t="n">
        <v>5</v>
      </c>
      <c r="AD304" t="n">
        <v>27</v>
      </c>
      <c r="AE304" t="n">
        <v>37</v>
      </c>
      <c r="AF304" t="n">
        <v>10</v>
      </c>
      <c r="AG304" t="n">
        <v>15</v>
      </c>
      <c r="AH304" t="n">
        <v>5</v>
      </c>
      <c r="AI304" t="n">
        <v>8</v>
      </c>
      <c r="AJ304" t="n">
        <v>14</v>
      </c>
      <c r="AK304" t="n">
        <v>19</v>
      </c>
      <c r="AL304" t="n">
        <v>3</v>
      </c>
      <c r="AM304" t="n">
        <v>3</v>
      </c>
      <c r="AN304" t="n">
        <v>0</v>
      </c>
      <c r="AO304" t="n">
        <v>0</v>
      </c>
      <c r="AP304" t="inlineStr">
        <is>
          <t>No</t>
        </is>
      </c>
      <c r="AQ304" t="inlineStr">
        <is>
          <t>Yes</t>
        </is>
      </c>
      <c r="AR304">
        <f>HYPERLINK("http://catalog.hathitrust.org/Record/002233380","HathiTrust Record")</f>
        <v/>
      </c>
      <c r="AS304">
        <f>HYPERLINK("https://creighton-primo.hosted.exlibrisgroup.com/primo-explore/search?tab=default_tab&amp;search_scope=EVERYTHING&amp;vid=01CRU&amp;lang=en_US&amp;offset=0&amp;query=any,contains,991001674519702656","Catalog Record")</f>
        <v/>
      </c>
      <c r="AT304">
        <f>HYPERLINK("http://www.worldcat.org/oclc/21314761","WorldCat Record")</f>
        <v/>
      </c>
      <c r="AU304" t="inlineStr">
        <is>
          <t>198824502:eng</t>
        </is>
      </c>
      <c r="AV304" t="inlineStr">
        <is>
          <t>21314761</t>
        </is>
      </c>
      <c r="AW304" t="inlineStr">
        <is>
          <t>991001674519702656</t>
        </is>
      </c>
      <c r="AX304" t="inlineStr">
        <is>
          <t>991001674519702656</t>
        </is>
      </c>
      <c r="AY304" t="inlineStr">
        <is>
          <t>2266403520002656</t>
        </is>
      </c>
      <c r="AZ304" t="inlineStr">
        <is>
          <t>BOOK</t>
        </is>
      </c>
      <c r="BB304" t="inlineStr">
        <is>
          <t>9780939010134</t>
        </is>
      </c>
      <c r="BC304" t="inlineStr">
        <is>
          <t>32285000593813</t>
        </is>
      </c>
      <c r="BD304" t="inlineStr">
        <is>
          <t>893328286</t>
        </is>
      </c>
    </row>
    <row r="305">
      <c r="A305" t="inlineStr">
        <is>
          <t>No</t>
        </is>
      </c>
      <c r="B305" t="inlineStr">
        <is>
          <t>PG3476 .T6</t>
        </is>
      </c>
      <c r="C305" t="inlineStr">
        <is>
          <t>0                      PG 3476000T  6</t>
        </is>
      </c>
      <c r="D305" t="inlineStr">
        <is>
          <t>Vampires; stories of the supernatural, by Alexis Tolstoy. [Translated by Fedor Nikanov. Edited by Linda Kuehl. Illustrated by Mel Fowler.</t>
        </is>
      </c>
      <c r="F305" t="inlineStr">
        <is>
          <t>No</t>
        </is>
      </c>
      <c r="G305" t="inlineStr">
        <is>
          <t>1</t>
        </is>
      </c>
      <c r="H305" t="inlineStr">
        <is>
          <t>No</t>
        </is>
      </c>
      <c r="I305" t="inlineStr">
        <is>
          <t>No</t>
        </is>
      </c>
      <c r="J305" t="inlineStr">
        <is>
          <t>0</t>
        </is>
      </c>
      <c r="K305" t="inlineStr">
        <is>
          <t>Tolstoy, Aleksey Konstantinovich, graf, 1817-1875.</t>
        </is>
      </c>
      <c r="L305" t="inlineStr">
        <is>
          <t>New York, Hawthorn Books [1969]</t>
        </is>
      </c>
      <c r="M305" t="inlineStr">
        <is>
          <t>1969</t>
        </is>
      </c>
      <c r="N305" t="inlineStr">
        <is>
          <t>1st ed.]</t>
        </is>
      </c>
      <c r="O305" t="inlineStr">
        <is>
          <t>eng</t>
        </is>
      </c>
      <c r="P305" t="inlineStr">
        <is>
          <t>nyu</t>
        </is>
      </c>
      <c r="R305" t="inlineStr">
        <is>
          <t xml:space="preserve">PG </t>
        </is>
      </c>
      <c r="S305" t="n">
        <v>3</v>
      </c>
      <c r="T305" t="n">
        <v>3</v>
      </c>
      <c r="U305" t="inlineStr">
        <is>
          <t>2005-10-05</t>
        </is>
      </c>
      <c r="V305" t="inlineStr">
        <is>
          <t>2005-10-05</t>
        </is>
      </c>
      <c r="W305" t="inlineStr">
        <is>
          <t>1997-09-09</t>
        </is>
      </c>
      <c r="X305" t="inlineStr">
        <is>
          <t>1997-09-09</t>
        </is>
      </c>
      <c r="Y305" t="n">
        <v>376</v>
      </c>
      <c r="Z305" t="n">
        <v>357</v>
      </c>
      <c r="AA305" t="n">
        <v>361</v>
      </c>
      <c r="AB305" t="n">
        <v>3</v>
      </c>
      <c r="AC305" t="n">
        <v>3</v>
      </c>
      <c r="AD305" t="n">
        <v>9</v>
      </c>
      <c r="AE305" t="n">
        <v>9</v>
      </c>
      <c r="AF305" t="n">
        <v>4</v>
      </c>
      <c r="AG305" t="n">
        <v>4</v>
      </c>
      <c r="AH305" t="n">
        <v>2</v>
      </c>
      <c r="AI305" t="n">
        <v>2</v>
      </c>
      <c r="AJ305" t="n">
        <v>4</v>
      </c>
      <c r="AK305" t="n">
        <v>4</v>
      </c>
      <c r="AL305" t="n">
        <v>1</v>
      </c>
      <c r="AM305" t="n">
        <v>1</v>
      </c>
      <c r="AN305" t="n">
        <v>0</v>
      </c>
      <c r="AO305" t="n">
        <v>0</v>
      </c>
      <c r="AP305" t="inlineStr">
        <is>
          <t>No</t>
        </is>
      </c>
      <c r="AQ305" t="inlineStr">
        <is>
          <t>Yes</t>
        </is>
      </c>
      <c r="AR305">
        <f>HYPERLINK("http://catalog.hathitrust.org/Record/001054971","HathiTrust Record")</f>
        <v/>
      </c>
      <c r="AS305">
        <f>HYPERLINK("https://creighton-primo.hosted.exlibrisgroup.com/primo-explore/search?tab=default_tab&amp;search_scope=EVERYTHING&amp;vid=01CRU&amp;lang=en_US&amp;offset=0&amp;query=any,contains,991000003129702656","Catalog Record")</f>
        <v/>
      </c>
      <c r="AT305">
        <f>HYPERLINK("http://www.worldcat.org/oclc/11932","WorldCat Record")</f>
        <v/>
      </c>
      <c r="AU305" t="inlineStr">
        <is>
          <t>422212273:eng</t>
        </is>
      </c>
      <c r="AV305" t="inlineStr">
        <is>
          <t>11932</t>
        </is>
      </c>
      <c r="AW305" t="inlineStr">
        <is>
          <t>991000003129702656</t>
        </is>
      </c>
      <c r="AX305" t="inlineStr">
        <is>
          <t>991000003129702656</t>
        </is>
      </c>
      <c r="AY305" t="inlineStr">
        <is>
          <t>2265496620002656</t>
        </is>
      </c>
      <c r="AZ305" t="inlineStr">
        <is>
          <t>BOOK</t>
        </is>
      </c>
      <c r="BC305" t="inlineStr">
        <is>
          <t>32285003220471</t>
        </is>
      </c>
      <c r="BD305" t="inlineStr">
        <is>
          <t>893514902</t>
        </is>
      </c>
    </row>
    <row r="306">
      <c r="A306" t="inlineStr">
        <is>
          <t>No</t>
        </is>
      </c>
      <c r="B306" t="inlineStr">
        <is>
          <t>PG3476.A324 A17 1973</t>
        </is>
      </c>
      <c r="C306" t="inlineStr">
        <is>
          <t>0                      PG 3476000A  324                A  17          1973</t>
        </is>
      </c>
      <c r="D306" t="inlineStr">
        <is>
          <t>Poems of Akhmatova / selected, translated and introduced by Stanley Kunitz with Max Hayward.</t>
        </is>
      </c>
      <c r="F306" t="inlineStr">
        <is>
          <t>No</t>
        </is>
      </c>
      <c r="G306" t="inlineStr">
        <is>
          <t>1</t>
        </is>
      </c>
      <c r="H306" t="inlineStr">
        <is>
          <t>No</t>
        </is>
      </c>
      <c r="I306" t="inlineStr">
        <is>
          <t>No</t>
        </is>
      </c>
      <c r="J306" t="inlineStr">
        <is>
          <t>0</t>
        </is>
      </c>
      <c r="K306" t="inlineStr">
        <is>
          <t>Akhmatova, Anna Andreevna, 1889-1966.</t>
        </is>
      </c>
      <c r="L306" t="inlineStr">
        <is>
          <t>Boston : Little, Brown, [1973]</t>
        </is>
      </c>
      <c r="M306" t="inlineStr">
        <is>
          <t>1973</t>
        </is>
      </c>
      <c r="N306" t="inlineStr">
        <is>
          <t>[1st ed.]</t>
        </is>
      </c>
      <c r="O306" t="inlineStr">
        <is>
          <t>eng</t>
        </is>
      </c>
      <c r="P306" t="inlineStr">
        <is>
          <t>mau</t>
        </is>
      </c>
      <c r="R306" t="inlineStr">
        <is>
          <t xml:space="preserve">PG </t>
        </is>
      </c>
      <c r="S306" t="n">
        <v>15</v>
      </c>
      <c r="T306" t="n">
        <v>15</v>
      </c>
      <c r="U306" t="inlineStr">
        <is>
          <t>2005-06-30</t>
        </is>
      </c>
      <c r="V306" t="inlineStr">
        <is>
          <t>2005-06-30</t>
        </is>
      </c>
      <c r="W306" t="inlineStr">
        <is>
          <t>1993-12-13</t>
        </is>
      </c>
      <c r="X306" t="inlineStr">
        <is>
          <t>1993-12-13</t>
        </is>
      </c>
      <c r="Y306" t="n">
        <v>784</v>
      </c>
      <c r="Z306" t="n">
        <v>733</v>
      </c>
      <c r="AA306" t="n">
        <v>841</v>
      </c>
      <c r="AB306" t="n">
        <v>6</v>
      </c>
      <c r="AC306" t="n">
        <v>7</v>
      </c>
      <c r="AD306" t="n">
        <v>31</v>
      </c>
      <c r="AE306" t="n">
        <v>34</v>
      </c>
      <c r="AF306" t="n">
        <v>11</v>
      </c>
      <c r="AG306" t="n">
        <v>12</v>
      </c>
      <c r="AH306" t="n">
        <v>7</v>
      </c>
      <c r="AI306" t="n">
        <v>8</v>
      </c>
      <c r="AJ306" t="n">
        <v>17</v>
      </c>
      <c r="AK306" t="n">
        <v>18</v>
      </c>
      <c r="AL306" t="n">
        <v>4</v>
      </c>
      <c r="AM306" t="n">
        <v>5</v>
      </c>
      <c r="AN306" t="n">
        <v>0</v>
      </c>
      <c r="AO306" t="n">
        <v>0</v>
      </c>
      <c r="AP306" t="inlineStr">
        <is>
          <t>No</t>
        </is>
      </c>
      <c r="AQ306" t="inlineStr">
        <is>
          <t>No</t>
        </is>
      </c>
      <c r="AS306">
        <f>HYPERLINK("https://creighton-primo.hosted.exlibrisgroup.com/primo-explore/search?tab=default_tab&amp;search_scope=EVERYTHING&amp;vid=01CRU&amp;lang=en_US&amp;offset=0&amp;query=any,contains,991002952509702656","Catalog Record")</f>
        <v/>
      </c>
      <c r="AT306">
        <f>HYPERLINK("http://www.worldcat.org/oclc/539730","WorldCat Record")</f>
        <v/>
      </c>
      <c r="AU306" t="inlineStr">
        <is>
          <t>2863418267:eng</t>
        </is>
      </c>
      <c r="AV306" t="inlineStr">
        <is>
          <t>539730</t>
        </is>
      </c>
      <c r="AW306" t="inlineStr">
        <is>
          <t>991002952509702656</t>
        </is>
      </c>
      <c r="AX306" t="inlineStr">
        <is>
          <t>991002952509702656</t>
        </is>
      </c>
      <c r="AY306" t="inlineStr">
        <is>
          <t>2261949800002656</t>
        </is>
      </c>
      <c r="AZ306" t="inlineStr">
        <is>
          <t>BOOK</t>
        </is>
      </c>
      <c r="BB306" t="inlineStr">
        <is>
          <t>9780316507004</t>
        </is>
      </c>
      <c r="BC306" t="inlineStr">
        <is>
          <t>32285001807899</t>
        </is>
      </c>
      <c r="BD306" t="inlineStr">
        <is>
          <t>893793151</t>
        </is>
      </c>
    </row>
    <row r="307">
      <c r="A307" t="inlineStr">
        <is>
          <t>No</t>
        </is>
      </c>
      <c r="B307" t="inlineStr">
        <is>
          <t>PG3476.A324 A17 1990</t>
        </is>
      </c>
      <c r="C307" t="inlineStr">
        <is>
          <t>0                      PG 3476000A  324                A  17          1990</t>
        </is>
      </c>
      <c r="D307" t="inlineStr">
        <is>
          <t>The complete poems of Anna Akhmatova / translated by Judith Hemschemeyer ; edited and with an introduction by Roberta Reeder.</t>
        </is>
      </c>
      <c r="F307" t="inlineStr">
        <is>
          <t>Yes</t>
        </is>
      </c>
      <c r="G307" t="inlineStr">
        <is>
          <t>1</t>
        </is>
      </c>
      <c r="H307" t="inlineStr">
        <is>
          <t>Yes</t>
        </is>
      </c>
      <c r="I307" t="inlineStr">
        <is>
          <t>No</t>
        </is>
      </c>
      <c r="J307" t="inlineStr">
        <is>
          <t>0</t>
        </is>
      </c>
      <c r="K307" t="inlineStr">
        <is>
          <t>Akhmatova, Anna Andreevna, 1889-1966.</t>
        </is>
      </c>
      <c r="L307" t="inlineStr">
        <is>
          <t>Somerville, Mass., U.S.A. : Zephyr Press, 1990, c1989.</t>
        </is>
      </c>
      <c r="M307" t="inlineStr">
        <is>
          <t>1990</t>
        </is>
      </c>
      <c r="O307" t="inlineStr">
        <is>
          <t>eng</t>
        </is>
      </c>
      <c r="P307" t="inlineStr">
        <is>
          <t>mau</t>
        </is>
      </c>
      <c r="R307" t="inlineStr">
        <is>
          <t xml:space="preserve">PG </t>
        </is>
      </c>
      <c r="S307" t="n">
        <v>4</v>
      </c>
      <c r="T307" t="n">
        <v>12</v>
      </c>
      <c r="U307" t="inlineStr">
        <is>
          <t>1996-11-25</t>
        </is>
      </c>
      <c r="V307" t="inlineStr">
        <is>
          <t>1998-09-28</t>
        </is>
      </c>
      <c r="W307" t="inlineStr">
        <is>
          <t>1991-06-06</t>
        </is>
      </c>
      <c r="X307" t="inlineStr">
        <is>
          <t>1991-06-06</t>
        </is>
      </c>
      <c r="Y307" t="n">
        <v>578</v>
      </c>
      <c r="Z307" t="n">
        <v>519</v>
      </c>
      <c r="AA307" t="n">
        <v>925</v>
      </c>
      <c r="AB307" t="n">
        <v>4</v>
      </c>
      <c r="AC307" t="n">
        <v>5</v>
      </c>
      <c r="AD307" t="n">
        <v>27</v>
      </c>
      <c r="AE307" t="n">
        <v>37</v>
      </c>
      <c r="AF307" t="n">
        <v>10</v>
      </c>
      <c r="AG307" t="n">
        <v>15</v>
      </c>
      <c r="AH307" t="n">
        <v>5</v>
      </c>
      <c r="AI307" t="n">
        <v>8</v>
      </c>
      <c r="AJ307" t="n">
        <v>14</v>
      </c>
      <c r="AK307" t="n">
        <v>19</v>
      </c>
      <c r="AL307" t="n">
        <v>3</v>
      </c>
      <c r="AM307" t="n">
        <v>3</v>
      </c>
      <c r="AN307" t="n">
        <v>0</v>
      </c>
      <c r="AO307" t="n">
        <v>0</v>
      </c>
      <c r="AP307" t="inlineStr">
        <is>
          <t>No</t>
        </is>
      </c>
      <c r="AQ307" t="inlineStr">
        <is>
          <t>Yes</t>
        </is>
      </c>
      <c r="AR307">
        <f>HYPERLINK("http://catalog.hathitrust.org/Record/002233380","HathiTrust Record")</f>
        <v/>
      </c>
      <c r="AS307">
        <f>HYPERLINK("https://creighton-primo.hosted.exlibrisgroup.com/primo-explore/search?tab=default_tab&amp;search_scope=EVERYTHING&amp;vid=01CRU&amp;lang=en_US&amp;offset=0&amp;query=any,contains,991001674519702656","Catalog Record")</f>
        <v/>
      </c>
      <c r="AT307">
        <f>HYPERLINK("http://www.worldcat.org/oclc/21314761","WorldCat Record")</f>
        <v/>
      </c>
      <c r="AU307" t="inlineStr">
        <is>
          <t>198824502:eng</t>
        </is>
      </c>
      <c r="AV307" t="inlineStr">
        <is>
          <t>21314761</t>
        </is>
      </c>
      <c r="AW307" t="inlineStr">
        <is>
          <t>991001674519702656</t>
        </is>
      </c>
      <c r="AX307" t="inlineStr">
        <is>
          <t>991001674519702656</t>
        </is>
      </c>
      <c r="AY307" t="inlineStr">
        <is>
          <t>2266403520002656</t>
        </is>
      </c>
      <c r="AZ307" t="inlineStr">
        <is>
          <t>BOOK</t>
        </is>
      </c>
      <c r="BB307" t="inlineStr">
        <is>
          <t>9780939010134</t>
        </is>
      </c>
      <c r="BC307" t="inlineStr">
        <is>
          <t>32285000593805</t>
        </is>
      </c>
      <c r="BD307" t="inlineStr">
        <is>
          <t>893351960</t>
        </is>
      </c>
    </row>
    <row r="308">
      <c r="A308" t="inlineStr">
        <is>
          <t>No</t>
        </is>
      </c>
      <c r="B308" t="inlineStr">
        <is>
          <t>PG3476.A324 A25 1969</t>
        </is>
      </c>
      <c r="C308" t="inlineStr">
        <is>
          <t>0                      PG 3476000A  324                A  25          1969</t>
        </is>
      </c>
      <c r="D308" t="inlineStr">
        <is>
          <t>Selected poems [by] Anna Akhmatova; translated with an introduction by Richard McKane, and an essay by Andrei Sinyavsky.</t>
        </is>
      </c>
      <c r="F308" t="inlineStr">
        <is>
          <t>No</t>
        </is>
      </c>
      <c r="G308" t="inlineStr">
        <is>
          <t>1</t>
        </is>
      </c>
      <c r="H308" t="inlineStr">
        <is>
          <t>No</t>
        </is>
      </c>
      <c r="I308" t="inlineStr">
        <is>
          <t>Yes</t>
        </is>
      </c>
      <c r="J308" t="inlineStr">
        <is>
          <t>0</t>
        </is>
      </c>
      <c r="K308" t="inlineStr">
        <is>
          <t>Akhmatova, Anna Andreevna, 1889-1966.</t>
        </is>
      </c>
      <c r="L308" t="inlineStr">
        <is>
          <t>London, New York, Oxford U.P., 1969.</t>
        </is>
      </c>
      <c r="M308" t="inlineStr">
        <is>
          <t>1969</t>
        </is>
      </c>
      <c r="O308" t="inlineStr">
        <is>
          <t>eng</t>
        </is>
      </c>
      <c r="P308" t="inlineStr">
        <is>
          <t>enk</t>
        </is>
      </c>
      <c r="R308" t="inlineStr">
        <is>
          <t xml:space="preserve">PG </t>
        </is>
      </c>
      <c r="S308" t="n">
        <v>18</v>
      </c>
      <c r="T308" t="n">
        <v>18</v>
      </c>
      <c r="U308" t="inlineStr">
        <is>
          <t>2010-03-14</t>
        </is>
      </c>
      <c r="V308" t="inlineStr">
        <is>
          <t>2010-03-14</t>
        </is>
      </c>
      <c r="W308" t="inlineStr">
        <is>
          <t>1993-01-06</t>
        </is>
      </c>
      <c r="X308" t="inlineStr">
        <is>
          <t>1993-01-06</t>
        </is>
      </c>
      <c r="Y308" t="n">
        <v>592</v>
      </c>
      <c r="Z308" t="n">
        <v>518</v>
      </c>
      <c r="AA308" t="n">
        <v>952</v>
      </c>
      <c r="AB308" t="n">
        <v>4</v>
      </c>
      <c r="AC308" t="n">
        <v>6</v>
      </c>
      <c r="AD308" t="n">
        <v>16</v>
      </c>
      <c r="AE308" t="n">
        <v>30</v>
      </c>
      <c r="AF308" t="n">
        <v>5</v>
      </c>
      <c r="AG308" t="n">
        <v>12</v>
      </c>
      <c r="AH308" t="n">
        <v>3</v>
      </c>
      <c r="AI308" t="n">
        <v>8</v>
      </c>
      <c r="AJ308" t="n">
        <v>8</v>
      </c>
      <c r="AK308" t="n">
        <v>12</v>
      </c>
      <c r="AL308" t="n">
        <v>2</v>
      </c>
      <c r="AM308" t="n">
        <v>4</v>
      </c>
      <c r="AN308" t="n">
        <v>0</v>
      </c>
      <c r="AO308" t="n">
        <v>0</v>
      </c>
      <c r="AP308" t="inlineStr">
        <is>
          <t>No</t>
        </is>
      </c>
      <c r="AQ308" t="inlineStr">
        <is>
          <t>Yes</t>
        </is>
      </c>
      <c r="AR308">
        <f>HYPERLINK("http://catalog.hathitrust.org/Record/001223773","HathiTrust Record")</f>
        <v/>
      </c>
      <c r="AS308">
        <f>HYPERLINK("https://creighton-primo.hosted.exlibrisgroup.com/primo-explore/search?tab=default_tab&amp;search_scope=EVERYTHING&amp;vid=01CRU&amp;lang=en_US&amp;offset=0&amp;query=any,contains,991000065949702656","Catalog Record")</f>
        <v/>
      </c>
      <c r="AT308">
        <f>HYPERLINK("http://www.worldcat.org/oclc/26596","WorldCat Record")</f>
        <v/>
      </c>
      <c r="AU308" t="inlineStr">
        <is>
          <t>4883867057:eng</t>
        </is>
      </c>
      <c r="AV308" t="inlineStr">
        <is>
          <t>26596</t>
        </is>
      </c>
      <c r="AW308" t="inlineStr">
        <is>
          <t>991000065949702656</t>
        </is>
      </c>
      <c r="AX308" t="inlineStr">
        <is>
          <t>991000065949702656</t>
        </is>
      </c>
      <c r="AY308" t="inlineStr">
        <is>
          <t>2265614630002656</t>
        </is>
      </c>
      <c r="AZ308" t="inlineStr">
        <is>
          <t>BOOK</t>
        </is>
      </c>
      <c r="BB308" t="inlineStr">
        <is>
          <t>9780192112781</t>
        </is>
      </c>
      <c r="BC308" t="inlineStr">
        <is>
          <t>32285001485431</t>
        </is>
      </c>
      <c r="BD308" t="inlineStr">
        <is>
          <t>893695560</t>
        </is>
      </c>
    </row>
    <row r="309">
      <c r="A309" t="inlineStr">
        <is>
          <t>No</t>
        </is>
      </c>
      <c r="B309" t="inlineStr">
        <is>
          <t>PG3476.A324 A26 1976</t>
        </is>
      </c>
      <c r="C309" t="inlineStr">
        <is>
          <t>0                      PG 3476000A  324                A  26          1976</t>
        </is>
      </c>
      <c r="D309" t="inlineStr">
        <is>
          <t>Selected poems / Anna Akhmatova ; edited and translated by Walter Arndt ; also with Requiem, translated by Robin Kemball, and A poem without a hero, translated and annotated by Carl R. Proffer.</t>
        </is>
      </c>
      <c r="F309" t="inlineStr">
        <is>
          <t>No</t>
        </is>
      </c>
      <c r="G309" t="inlineStr">
        <is>
          <t>1</t>
        </is>
      </c>
      <c r="H309" t="inlineStr">
        <is>
          <t>No</t>
        </is>
      </c>
      <c r="I309" t="inlineStr">
        <is>
          <t>Yes</t>
        </is>
      </c>
      <c r="J309" t="inlineStr">
        <is>
          <t>0</t>
        </is>
      </c>
      <c r="K309" t="inlineStr">
        <is>
          <t>Akhmatova, Anna Andreevna, 1889-1966.</t>
        </is>
      </c>
      <c r="L309" t="inlineStr">
        <is>
          <t>Ann Arbor, Mich. : Ardis, c1976.</t>
        </is>
      </c>
      <c r="M309" t="inlineStr">
        <is>
          <t>1976</t>
        </is>
      </c>
      <c r="O309" t="inlineStr">
        <is>
          <t>eng</t>
        </is>
      </c>
      <c r="P309" t="inlineStr">
        <is>
          <t>miu</t>
        </is>
      </c>
      <c r="R309" t="inlineStr">
        <is>
          <t xml:space="preserve">PG </t>
        </is>
      </c>
      <c r="S309" t="n">
        <v>20</v>
      </c>
      <c r="T309" t="n">
        <v>20</v>
      </c>
      <c r="U309" t="inlineStr">
        <is>
          <t>2004-03-04</t>
        </is>
      </c>
      <c r="V309" t="inlineStr">
        <is>
          <t>2004-03-04</t>
        </is>
      </c>
      <c r="W309" t="inlineStr">
        <is>
          <t>1991-12-16</t>
        </is>
      </c>
      <c r="X309" t="inlineStr">
        <is>
          <t>1991-12-16</t>
        </is>
      </c>
      <c r="Y309" t="n">
        <v>475</v>
      </c>
      <c r="Z309" t="n">
        <v>424</v>
      </c>
      <c r="AA309" t="n">
        <v>952</v>
      </c>
      <c r="AB309" t="n">
        <v>3</v>
      </c>
      <c r="AC309" t="n">
        <v>6</v>
      </c>
      <c r="AD309" t="n">
        <v>15</v>
      </c>
      <c r="AE309" t="n">
        <v>30</v>
      </c>
      <c r="AF309" t="n">
        <v>2</v>
      </c>
      <c r="AG309" t="n">
        <v>12</v>
      </c>
      <c r="AH309" t="n">
        <v>7</v>
      </c>
      <c r="AI309" t="n">
        <v>8</v>
      </c>
      <c r="AJ309" t="n">
        <v>8</v>
      </c>
      <c r="AK309" t="n">
        <v>12</v>
      </c>
      <c r="AL309" t="n">
        <v>2</v>
      </c>
      <c r="AM309" t="n">
        <v>4</v>
      </c>
      <c r="AN309" t="n">
        <v>0</v>
      </c>
      <c r="AO309" t="n">
        <v>0</v>
      </c>
      <c r="AP309" t="inlineStr">
        <is>
          <t>No</t>
        </is>
      </c>
      <c r="AQ309" t="inlineStr">
        <is>
          <t>Yes</t>
        </is>
      </c>
      <c r="AR309">
        <f>HYPERLINK("http://catalog.hathitrust.org/Record/000083805","HathiTrust Record")</f>
        <v/>
      </c>
      <c r="AS309">
        <f>HYPERLINK("https://creighton-primo.hosted.exlibrisgroup.com/primo-explore/search?tab=default_tab&amp;search_scope=EVERYTHING&amp;vid=01CRU&amp;lang=en_US&amp;offset=0&amp;query=any,contains,991004148189702656","Catalog Record")</f>
        <v/>
      </c>
      <c r="AT309">
        <f>HYPERLINK("http://www.worldcat.org/oclc/2517549","WorldCat Record")</f>
        <v/>
      </c>
      <c r="AU309" t="inlineStr">
        <is>
          <t>4883867057:eng</t>
        </is>
      </c>
      <c r="AV309" t="inlineStr">
        <is>
          <t>2517549</t>
        </is>
      </c>
      <c r="AW309" t="inlineStr">
        <is>
          <t>991004148189702656</t>
        </is>
      </c>
      <c r="AX309" t="inlineStr">
        <is>
          <t>991004148189702656</t>
        </is>
      </c>
      <c r="AY309" t="inlineStr">
        <is>
          <t>2258272710002656</t>
        </is>
      </c>
      <c r="AZ309" t="inlineStr">
        <is>
          <t>BOOK</t>
        </is>
      </c>
      <c r="BB309" t="inlineStr">
        <is>
          <t>9780882331799</t>
        </is>
      </c>
      <c r="BC309" t="inlineStr">
        <is>
          <t>32285000839802</t>
        </is>
      </c>
      <c r="BD309" t="inlineStr">
        <is>
          <t>893259380</t>
        </is>
      </c>
    </row>
    <row r="310">
      <c r="A310" t="inlineStr">
        <is>
          <t>No</t>
        </is>
      </c>
      <c r="B310" t="inlineStr">
        <is>
          <t>PG3476.A324 Z535 1992</t>
        </is>
      </c>
      <c r="C310" t="inlineStr">
        <is>
          <t>0                      PG 3476000A  324                Z  535         1992</t>
        </is>
      </c>
      <c r="D310" t="inlineStr">
        <is>
          <t>In a shattered mirror / the later poetry of Anna Akhmatova / Susan Amert.</t>
        </is>
      </c>
      <c r="F310" t="inlineStr">
        <is>
          <t>No</t>
        </is>
      </c>
      <c r="G310" t="inlineStr">
        <is>
          <t>1</t>
        </is>
      </c>
      <c r="H310" t="inlineStr">
        <is>
          <t>No</t>
        </is>
      </c>
      <c r="I310" t="inlineStr">
        <is>
          <t>No</t>
        </is>
      </c>
      <c r="J310" t="inlineStr">
        <is>
          <t>0</t>
        </is>
      </c>
      <c r="K310" t="inlineStr">
        <is>
          <t>Amert, Susan.</t>
        </is>
      </c>
      <c r="L310" t="inlineStr">
        <is>
          <t>Stanford, Calif. : Stanford University Press, 1992.</t>
        </is>
      </c>
      <c r="M310" t="inlineStr">
        <is>
          <t>1992</t>
        </is>
      </c>
      <c r="O310" t="inlineStr">
        <is>
          <t>eng</t>
        </is>
      </c>
      <c r="P310" t="inlineStr">
        <is>
          <t>cau</t>
        </is>
      </c>
      <c r="R310" t="inlineStr">
        <is>
          <t xml:space="preserve">PG </t>
        </is>
      </c>
      <c r="S310" t="n">
        <v>8</v>
      </c>
      <c r="T310" t="n">
        <v>8</v>
      </c>
      <c r="U310" t="inlineStr">
        <is>
          <t>2004-03-30</t>
        </is>
      </c>
      <c r="V310" t="inlineStr">
        <is>
          <t>2004-03-30</t>
        </is>
      </c>
      <c r="W310" t="inlineStr">
        <is>
          <t>1997-05-12</t>
        </is>
      </c>
      <c r="X310" t="inlineStr">
        <is>
          <t>1997-05-12</t>
        </is>
      </c>
      <c r="Y310" t="n">
        <v>387</v>
      </c>
      <c r="Z310" t="n">
        <v>330</v>
      </c>
      <c r="AA310" t="n">
        <v>332</v>
      </c>
      <c r="AB310" t="n">
        <v>2</v>
      </c>
      <c r="AC310" t="n">
        <v>2</v>
      </c>
      <c r="AD310" t="n">
        <v>22</v>
      </c>
      <c r="AE310" t="n">
        <v>22</v>
      </c>
      <c r="AF310" t="n">
        <v>7</v>
      </c>
      <c r="AG310" t="n">
        <v>7</v>
      </c>
      <c r="AH310" t="n">
        <v>7</v>
      </c>
      <c r="AI310" t="n">
        <v>7</v>
      </c>
      <c r="AJ310" t="n">
        <v>11</v>
      </c>
      <c r="AK310" t="n">
        <v>11</v>
      </c>
      <c r="AL310" t="n">
        <v>1</v>
      </c>
      <c r="AM310" t="n">
        <v>1</v>
      </c>
      <c r="AN310" t="n">
        <v>0</v>
      </c>
      <c r="AO310" t="n">
        <v>0</v>
      </c>
      <c r="AP310" t="inlineStr">
        <is>
          <t>No</t>
        </is>
      </c>
      <c r="AQ310" t="inlineStr">
        <is>
          <t>Yes</t>
        </is>
      </c>
      <c r="AR310">
        <f>HYPERLINK("http://catalog.hathitrust.org/Record/002573595","HathiTrust Record")</f>
        <v/>
      </c>
      <c r="AS310">
        <f>HYPERLINK("https://creighton-primo.hosted.exlibrisgroup.com/primo-explore/search?tab=default_tab&amp;search_scope=EVERYTHING&amp;vid=01CRU&amp;lang=en_US&amp;offset=0&amp;query=any,contains,991001920089702656","Catalog Record")</f>
        <v/>
      </c>
      <c r="AT310">
        <f>HYPERLINK("http://www.worldcat.org/oclc/24246374","WorldCat Record")</f>
        <v/>
      </c>
      <c r="AU310" t="inlineStr">
        <is>
          <t>339624840:eng</t>
        </is>
      </c>
      <c r="AV310" t="inlineStr">
        <is>
          <t>24246374</t>
        </is>
      </c>
      <c r="AW310" t="inlineStr">
        <is>
          <t>991001920089702656</t>
        </is>
      </c>
      <c r="AX310" t="inlineStr">
        <is>
          <t>991001920089702656</t>
        </is>
      </c>
      <c r="AY310" t="inlineStr">
        <is>
          <t>2264057770002656</t>
        </is>
      </c>
      <c r="AZ310" t="inlineStr">
        <is>
          <t>BOOK</t>
        </is>
      </c>
      <c r="BB310" t="inlineStr">
        <is>
          <t>9780804719827</t>
        </is>
      </c>
      <c r="BC310" t="inlineStr">
        <is>
          <t>32285002606951</t>
        </is>
      </c>
      <c r="BD310" t="inlineStr">
        <is>
          <t>893334723</t>
        </is>
      </c>
    </row>
    <row r="311">
      <c r="A311" t="inlineStr">
        <is>
          <t>No</t>
        </is>
      </c>
      <c r="B311" t="inlineStr">
        <is>
          <t>PG3476.A324 Z63</t>
        </is>
      </c>
      <c r="C311" t="inlineStr">
        <is>
          <t>0                      PG 3476000A  324                Z  63</t>
        </is>
      </c>
      <c r="D311" t="inlineStr">
        <is>
          <t>Anna Akhmatova / [by] Sam N. Driver.</t>
        </is>
      </c>
      <c r="F311" t="inlineStr">
        <is>
          <t>No</t>
        </is>
      </c>
      <c r="G311" t="inlineStr">
        <is>
          <t>1</t>
        </is>
      </c>
      <c r="H311" t="inlineStr">
        <is>
          <t>No</t>
        </is>
      </c>
      <c r="I311" t="inlineStr">
        <is>
          <t>No</t>
        </is>
      </c>
      <c r="J311" t="inlineStr">
        <is>
          <t>0</t>
        </is>
      </c>
      <c r="K311" t="inlineStr">
        <is>
          <t>Driver, Sam N., 1929-2003.</t>
        </is>
      </c>
      <c r="L311" t="inlineStr">
        <is>
          <t>New York : Twayne Publishers, [c1972]</t>
        </is>
      </c>
      <c r="M311" t="inlineStr">
        <is>
          <t>1972</t>
        </is>
      </c>
      <c r="O311" t="inlineStr">
        <is>
          <t>eng</t>
        </is>
      </c>
      <c r="P311" t="inlineStr">
        <is>
          <t>nyu</t>
        </is>
      </c>
      <c r="Q311" t="inlineStr">
        <is>
          <t>Twayne's world authors series, 198. Soviet Union</t>
        </is>
      </c>
      <c r="R311" t="inlineStr">
        <is>
          <t xml:space="preserve">PG </t>
        </is>
      </c>
      <c r="S311" t="n">
        <v>13</v>
      </c>
      <c r="T311" t="n">
        <v>13</v>
      </c>
      <c r="U311" t="inlineStr">
        <is>
          <t>2002-11-25</t>
        </is>
      </c>
      <c r="V311" t="inlineStr">
        <is>
          <t>2002-11-25</t>
        </is>
      </c>
      <c r="W311" t="inlineStr">
        <is>
          <t>1991-12-16</t>
        </is>
      </c>
      <c r="X311" t="inlineStr">
        <is>
          <t>1991-12-16</t>
        </is>
      </c>
      <c r="Y311" t="n">
        <v>557</v>
      </c>
      <c r="Z311" t="n">
        <v>483</v>
      </c>
      <c r="AA311" t="n">
        <v>490</v>
      </c>
      <c r="AB311" t="n">
        <v>3</v>
      </c>
      <c r="AC311" t="n">
        <v>3</v>
      </c>
      <c r="AD311" t="n">
        <v>20</v>
      </c>
      <c r="AE311" t="n">
        <v>20</v>
      </c>
      <c r="AF311" t="n">
        <v>8</v>
      </c>
      <c r="AG311" t="n">
        <v>8</v>
      </c>
      <c r="AH311" t="n">
        <v>5</v>
      </c>
      <c r="AI311" t="n">
        <v>5</v>
      </c>
      <c r="AJ311" t="n">
        <v>11</v>
      </c>
      <c r="AK311" t="n">
        <v>11</v>
      </c>
      <c r="AL311" t="n">
        <v>2</v>
      </c>
      <c r="AM311" t="n">
        <v>2</v>
      </c>
      <c r="AN311" t="n">
        <v>0</v>
      </c>
      <c r="AO311" t="n">
        <v>0</v>
      </c>
      <c r="AP311" t="inlineStr">
        <is>
          <t>No</t>
        </is>
      </c>
      <c r="AQ311" t="inlineStr">
        <is>
          <t>Yes</t>
        </is>
      </c>
      <c r="AR311">
        <f>HYPERLINK("http://catalog.hathitrust.org/Record/001223776","HathiTrust Record")</f>
        <v/>
      </c>
      <c r="AS311">
        <f>HYPERLINK("https://creighton-primo.hosted.exlibrisgroup.com/primo-explore/search?tab=default_tab&amp;search_scope=EVERYTHING&amp;vid=01CRU&amp;lang=en_US&amp;offset=0&amp;query=any,contains,991003009879702656","Catalog Record")</f>
        <v/>
      </c>
      <c r="AT311">
        <f>HYPERLINK("http://www.worldcat.org/oclc/577087","WorldCat Record")</f>
        <v/>
      </c>
      <c r="AU311" t="inlineStr">
        <is>
          <t>148056448:eng</t>
        </is>
      </c>
      <c r="AV311" t="inlineStr">
        <is>
          <t>577087</t>
        </is>
      </c>
      <c r="AW311" t="inlineStr">
        <is>
          <t>991003009879702656</t>
        </is>
      </c>
      <c r="AX311" t="inlineStr">
        <is>
          <t>991003009879702656</t>
        </is>
      </c>
      <c r="AY311" t="inlineStr">
        <is>
          <t>2259215250002656</t>
        </is>
      </c>
      <c r="AZ311" t="inlineStr">
        <is>
          <t>BOOK</t>
        </is>
      </c>
      <c r="BC311" t="inlineStr">
        <is>
          <t>32285000877661</t>
        </is>
      </c>
      <c r="BD311" t="inlineStr">
        <is>
          <t>893698574</t>
        </is>
      </c>
    </row>
    <row r="312">
      <c r="A312" t="inlineStr">
        <is>
          <t>No</t>
        </is>
      </c>
      <c r="B312" t="inlineStr">
        <is>
          <t>PG3476.A324 Z665 2006</t>
        </is>
      </c>
      <c r="C312" t="inlineStr">
        <is>
          <t>0                      PG 3476000A  324                Z  665         2006</t>
        </is>
      </c>
      <c r="D312" t="inlineStr">
        <is>
          <t>Anna of all the Russias : the life of Anna Akhmatova / Elaine Feinstein.</t>
        </is>
      </c>
      <c r="F312" t="inlineStr">
        <is>
          <t>No</t>
        </is>
      </c>
      <c r="G312" t="inlineStr">
        <is>
          <t>1</t>
        </is>
      </c>
      <c r="H312" t="inlineStr">
        <is>
          <t>No</t>
        </is>
      </c>
      <c r="I312" t="inlineStr">
        <is>
          <t>No</t>
        </is>
      </c>
      <c r="J312" t="inlineStr">
        <is>
          <t>0</t>
        </is>
      </c>
      <c r="K312" t="inlineStr">
        <is>
          <t>Feinstein, Elaine.</t>
        </is>
      </c>
      <c r="L312" t="inlineStr">
        <is>
          <t>New York : Knopf, 2006.</t>
        </is>
      </c>
      <c r="M312" t="inlineStr">
        <is>
          <t>2006</t>
        </is>
      </c>
      <c r="N312" t="inlineStr">
        <is>
          <t>1st American ed.</t>
        </is>
      </c>
      <c r="O312" t="inlineStr">
        <is>
          <t>eng</t>
        </is>
      </c>
      <c r="P312" t="inlineStr">
        <is>
          <t>nyu</t>
        </is>
      </c>
      <c r="R312" t="inlineStr">
        <is>
          <t xml:space="preserve">PG </t>
        </is>
      </c>
      <c r="S312" t="n">
        <v>4</v>
      </c>
      <c r="T312" t="n">
        <v>4</v>
      </c>
      <c r="U312" t="inlineStr">
        <is>
          <t>2009-10-12</t>
        </is>
      </c>
      <c r="V312" t="inlineStr">
        <is>
          <t>2009-10-12</t>
        </is>
      </c>
      <c r="W312" t="inlineStr">
        <is>
          <t>2006-03-07</t>
        </is>
      </c>
      <c r="X312" t="inlineStr">
        <is>
          <t>2006-03-07</t>
        </is>
      </c>
      <c r="Y312" t="n">
        <v>543</v>
      </c>
      <c r="Z312" t="n">
        <v>529</v>
      </c>
      <c r="AA312" t="n">
        <v>756</v>
      </c>
      <c r="AB312" t="n">
        <v>4</v>
      </c>
      <c r="AC312" t="n">
        <v>4</v>
      </c>
      <c r="AD312" t="n">
        <v>18</v>
      </c>
      <c r="AE312" t="n">
        <v>24</v>
      </c>
      <c r="AF312" t="n">
        <v>6</v>
      </c>
      <c r="AG312" t="n">
        <v>9</v>
      </c>
      <c r="AH312" t="n">
        <v>4</v>
      </c>
      <c r="AI312" t="n">
        <v>7</v>
      </c>
      <c r="AJ312" t="n">
        <v>9</v>
      </c>
      <c r="AK312" t="n">
        <v>12</v>
      </c>
      <c r="AL312" t="n">
        <v>3</v>
      </c>
      <c r="AM312" t="n">
        <v>3</v>
      </c>
      <c r="AN312" t="n">
        <v>0</v>
      </c>
      <c r="AO312" t="n">
        <v>0</v>
      </c>
      <c r="AP312" t="inlineStr">
        <is>
          <t>No</t>
        </is>
      </c>
      <c r="AQ312" t="inlineStr">
        <is>
          <t>Yes</t>
        </is>
      </c>
      <c r="AR312">
        <f>HYPERLINK("http://catalog.hathitrust.org/Record/005217439","HathiTrust Record")</f>
        <v/>
      </c>
      <c r="AS312">
        <f>HYPERLINK("https://creighton-primo.hosted.exlibrisgroup.com/primo-explore/search?tab=default_tab&amp;search_scope=EVERYTHING&amp;vid=01CRU&amp;lang=en_US&amp;offset=0&amp;query=any,contains,991004760809702656","Catalog Record")</f>
        <v/>
      </c>
      <c r="AT312">
        <f>HYPERLINK("http://www.worldcat.org/oclc/61445871","WorldCat Record")</f>
        <v/>
      </c>
      <c r="AU312" t="inlineStr">
        <is>
          <t>3768580810:eng</t>
        </is>
      </c>
      <c r="AV312" t="inlineStr">
        <is>
          <t>61445871</t>
        </is>
      </c>
      <c r="AW312" t="inlineStr">
        <is>
          <t>991004760809702656</t>
        </is>
      </c>
      <c r="AX312" t="inlineStr">
        <is>
          <t>991004760809702656</t>
        </is>
      </c>
      <c r="AY312" t="inlineStr">
        <is>
          <t>2262253310002656</t>
        </is>
      </c>
      <c r="AZ312" t="inlineStr">
        <is>
          <t>BOOK</t>
        </is>
      </c>
      <c r="BB312" t="inlineStr">
        <is>
          <t>9781400033782</t>
        </is>
      </c>
      <c r="BC312" t="inlineStr">
        <is>
          <t>32285005168835</t>
        </is>
      </c>
      <c r="BD312" t="inlineStr">
        <is>
          <t>893606438</t>
        </is>
      </c>
    </row>
    <row r="313">
      <c r="A313" t="inlineStr">
        <is>
          <t>No</t>
        </is>
      </c>
      <c r="B313" t="inlineStr">
        <is>
          <t>PG3476.A324 Z85 1994</t>
        </is>
      </c>
      <c r="C313" t="inlineStr">
        <is>
          <t>0                      PG 3476000A  324                Z  85          1994</t>
        </is>
      </c>
      <c r="D313" t="inlineStr">
        <is>
          <t>Anna Akhmatova : poet and prophet / Roberta Reeder.</t>
        </is>
      </c>
      <c r="F313" t="inlineStr">
        <is>
          <t>No</t>
        </is>
      </c>
      <c r="G313" t="inlineStr">
        <is>
          <t>1</t>
        </is>
      </c>
      <c r="H313" t="inlineStr">
        <is>
          <t>No</t>
        </is>
      </c>
      <c r="I313" t="inlineStr">
        <is>
          <t>Yes</t>
        </is>
      </c>
      <c r="J313" t="inlineStr">
        <is>
          <t>0</t>
        </is>
      </c>
      <c r="K313" t="inlineStr">
        <is>
          <t>Reeder, Roberta.</t>
        </is>
      </c>
      <c r="L313" t="inlineStr">
        <is>
          <t>New York : St. Martin's Press, 1994.</t>
        </is>
      </c>
      <c r="M313" t="inlineStr">
        <is>
          <t>1994</t>
        </is>
      </c>
      <c r="N313" t="inlineStr">
        <is>
          <t>1st ed.</t>
        </is>
      </c>
      <c r="O313" t="inlineStr">
        <is>
          <t>eng</t>
        </is>
      </c>
      <c r="P313" t="inlineStr">
        <is>
          <t>nyu</t>
        </is>
      </c>
      <c r="R313" t="inlineStr">
        <is>
          <t xml:space="preserve">PG </t>
        </is>
      </c>
      <c r="S313" t="n">
        <v>14</v>
      </c>
      <c r="T313" t="n">
        <v>14</v>
      </c>
      <c r="U313" t="inlineStr">
        <is>
          <t>2004-05-01</t>
        </is>
      </c>
      <c r="V313" t="inlineStr">
        <is>
          <t>2004-05-01</t>
        </is>
      </c>
      <c r="W313" t="inlineStr">
        <is>
          <t>1995-02-13</t>
        </is>
      </c>
      <c r="X313" t="inlineStr">
        <is>
          <t>1995-02-13</t>
        </is>
      </c>
      <c r="Y313" t="n">
        <v>662</v>
      </c>
      <c r="Z313" t="n">
        <v>610</v>
      </c>
      <c r="AA313" t="n">
        <v>712</v>
      </c>
      <c r="AB313" t="n">
        <v>6</v>
      </c>
      <c r="AC313" t="n">
        <v>7</v>
      </c>
      <c r="AD313" t="n">
        <v>23</v>
      </c>
      <c r="AE313" t="n">
        <v>27</v>
      </c>
      <c r="AF313" t="n">
        <v>8</v>
      </c>
      <c r="AG313" t="n">
        <v>9</v>
      </c>
      <c r="AH313" t="n">
        <v>7</v>
      </c>
      <c r="AI313" t="n">
        <v>8</v>
      </c>
      <c r="AJ313" t="n">
        <v>14</v>
      </c>
      <c r="AK313" t="n">
        <v>15</v>
      </c>
      <c r="AL313" t="n">
        <v>3</v>
      </c>
      <c r="AM313" t="n">
        <v>4</v>
      </c>
      <c r="AN313" t="n">
        <v>0</v>
      </c>
      <c r="AO313" t="n">
        <v>0</v>
      </c>
      <c r="AP313" t="inlineStr">
        <is>
          <t>No</t>
        </is>
      </c>
      <c r="AQ313" t="inlineStr">
        <is>
          <t>No</t>
        </is>
      </c>
      <c r="AS313">
        <f>HYPERLINK("https://creighton-primo.hosted.exlibrisgroup.com/primo-explore/search?tab=default_tab&amp;search_scope=EVERYTHING&amp;vid=01CRU&amp;lang=en_US&amp;offset=0&amp;query=any,contains,991002357509702656","Catalog Record")</f>
        <v/>
      </c>
      <c r="AT313">
        <f>HYPERLINK("http://www.worldcat.org/oclc/30667910","WorldCat Record")</f>
        <v/>
      </c>
      <c r="AU313" t="inlineStr">
        <is>
          <t>32765740:eng</t>
        </is>
      </c>
      <c r="AV313" t="inlineStr">
        <is>
          <t>30667910</t>
        </is>
      </c>
      <c r="AW313" t="inlineStr">
        <is>
          <t>991002357509702656</t>
        </is>
      </c>
      <c r="AX313" t="inlineStr">
        <is>
          <t>991002357509702656</t>
        </is>
      </c>
      <c r="AY313" t="inlineStr">
        <is>
          <t>2268058000002656</t>
        </is>
      </c>
      <c r="AZ313" t="inlineStr">
        <is>
          <t>BOOK</t>
        </is>
      </c>
      <c r="BB313" t="inlineStr">
        <is>
          <t>9780312112417</t>
        </is>
      </c>
      <c r="BC313" t="inlineStr">
        <is>
          <t>32285001998417</t>
        </is>
      </c>
      <c r="BD313" t="inlineStr">
        <is>
          <t>893409006</t>
        </is>
      </c>
    </row>
    <row r="314">
      <c r="A314" t="inlineStr">
        <is>
          <t>No</t>
        </is>
      </c>
      <c r="B314" t="inlineStr">
        <is>
          <t>PG3476.A324 Z85 1995</t>
        </is>
      </c>
      <c r="C314" t="inlineStr">
        <is>
          <t>0                      PG 3476000A  324                Z  85          1995</t>
        </is>
      </c>
      <c r="D314" t="inlineStr">
        <is>
          <t>Anna Akhmatova : poet and prophet / Roberta Reeder.</t>
        </is>
      </c>
      <c r="F314" t="inlineStr">
        <is>
          <t>No</t>
        </is>
      </c>
      <c r="G314" t="inlineStr">
        <is>
          <t>1</t>
        </is>
      </c>
      <c r="H314" t="inlineStr">
        <is>
          <t>No</t>
        </is>
      </c>
      <c r="I314" t="inlineStr">
        <is>
          <t>Yes</t>
        </is>
      </c>
      <c r="J314" t="inlineStr">
        <is>
          <t>0</t>
        </is>
      </c>
      <c r="K314" t="inlineStr">
        <is>
          <t>Reeder, Roberta.</t>
        </is>
      </c>
      <c r="L314" t="inlineStr">
        <is>
          <t>New York : Picador, 1995.</t>
        </is>
      </c>
      <c r="M314" t="inlineStr">
        <is>
          <t>1995</t>
        </is>
      </c>
      <c r="N314" t="inlineStr">
        <is>
          <t>1st Picador USA ed.</t>
        </is>
      </c>
      <c r="O314" t="inlineStr">
        <is>
          <t>eng</t>
        </is>
      </c>
      <c r="P314" t="inlineStr">
        <is>
          <t>nyu</t>
        </is>
      </c>
      <c r="R314" t="inlineStr">
        <is>
          <t xml:space="preserve">PG </t>
        </is>
      </c>
      <c r="S314" t="n">
        <v>4</v>
      </c>
      <c r="T314" t="n">
        <v>4</v>
      </c>
      <c r="U314" t="inlineStr">
        <is>
          <t>2005-06-30</t>
        </is>
      </c>
      <c r="V314" t="inlineStr">
        <is>
          <t>2005-06-30</t>
        </is>
      </c>
      <c r="W314" t="inlineStr">
        <is>
          <t>2000-02-23</t>
        </is>
      </c>
      <c r="X314" t="inlineStr">
        <is>
          <t>2000-02-23</t>
        </is>
      </c>
      <c r="Y314" t="n">
        <v>118</v>
      </c>
      <c r="Z314" t="n">
        <v>98</v>
      </c>
      <c r="AA314" t="n">
        <v>712</v>
      </c>
      <c r="AB314" t="n">
        <v>2</v>
      </c>
      <c r="AC314" t="n">
        <v>7</v>
      </c>
      <c r="AD314" t="n">
        <v>4</v>
      </c>
      <c r="AE314" t="n">
        <v>27</v>
      </c>
      <c r="AF314" t="n">
        <v>1</v>
      </c>
      <c r="AG314" t="n">
        <v>9</v>
      </c>
      <c r="AH314" t="n">
        <v>1</v>
      </c>
      <c r="AI314" t="n">
        <v>8</v>
      </c>
      <c r="AJ314" t="n">
        <v>1</v>
      </c>
      <c r="AK314" t="n">
        <v>15</v>
      </c>
      <c r="AL314" t="n">
        <v>1</v>
      </c>
      <c r="AM314" t="n">
        <v>4</v>
      </c>
      <c r="AN314" t="n">
        <v>0</v>
      </c>
      <c r="AO314" t="n">
        <v>0</v>
      </c>
      <c r="AP314" t="inlineStr">
        <is>
          <t>No</t>
        </is>
      </c>
      <c r="AQ314" t="inlineStr">
        <is>
          <t>No</t>
        </is>
      </c>
      <c r="AS314">
        <f>HYPERLINK("https://creighton-primo.hosted.exlibrisgroup.com/primo-explore/search?tab=default_tab&amp;search_scope=EVERYTHING&amp;vid=01CRU&amp;lang=en_US&amp;offset=0&amp;query=any,contains,991002511659702656","Catalog Record")</f>
        <v/>
      </c>
      <c r="AT314">
        <f>HYPERLINK("http://www.worldcat.org/oclc/32665419","WorldCat Record")</f>
        <v/>
      </c>
      <c r="AU314" t="inlineStr">
        <is>
          <t>32765740:eng</t>
        </is>
      </c>
      <c r="AV314" t="inlineStr">
        <is>
          <t>32665419</t>
        </is>
      </c>
      <c r="AW314" t="inlineStr">
        <is>
          <t>991002511659702656</t>
        </is>
      </c>
      <c r="AX314" t="inlineStr">
        <is>
          <t>991002511659702656</t>
        </is>
      </c>
      <c r="AY314" t="inlineStr">
        <is>
          <t>2264523450002656</t>
        </is>
      </c>
      <c r="AZ314" t="inlineStr">
        <is>
          <t>BOOK</t>
        </is>
      </c>
      <c r="BB314" t="inlineStr">
        <is>
          <t>9780312134297</t>
        </is>
      </c>
      <c r="BC314" t="inlineStr">
        <is>
          <t>32285003662763</t>
        </is>
      </c>
      <c r="BD314" t="inlineStr">
        <is>
          <t>893779898</t>
        </is>
      </c>
    </row>
    <row r="315">
      <c r="A315" t="inlineStr">
        <is>
          <t>No</t>
        </is>
      </c>
      <c r="B315" t="inlineStr">
        <is>
          <t>PG3476.B2 A26 1994</t>
        </is>
      </c>
      <c r="C315" t="inlineStr">
        <is>
          <t>0                      PG 3476000B  2                  A  26          1994</t>
        </is>
      </c>
      <c r="D315" t="inlineStr">
        <is>
          <t>Collected stories / Isaac Babel ; translated by David McDuff.</t>
        </is>
      </c>
      <c r="F315" t="inlineStr">
        <is>
          <t>No</t>
        </is>
      </c>
      <c r="G315" t="inlineStr">
        <is>
          <t>1</t>
        </is>
      </c>
      <c r="H315" t="inlineStr">
        <is>
          <t>No</t>
        </is>
      </c>
      <c r="I315" t="inlineStr">
        <is>
          <t>No</t>
        </is>
      </c>
      <c r="J315" t="inlineStr">
        <is>
          <t>0</t>
        </is>
      </c>
      <c r="K315" t="inlineStr">
        <is>
          <t>Babelʹ, I. (Isaak), 1894-1940.</t>
        </is>
      </c>
      <c r="L315" t="inlineStr">
        <is>
          <t>London : Penguin, 1994.</t>
        </is>
      </c>
      <c r="M315" t="inlineStr">
        <is>
          <t>1994</t>
        </is>
      </c>
      <c r="O315" t="inlineStr">
        <is>
          <t>eng</t>
        </is>
      </c>
      <c r="P315" t="inlineStr">
        <is>
          <t>enk</t>
        </is>
      </c>
      <c r="Q315" t="inlineStr">
        <is>
          <t>Penguin twentieth-century classics</t>
        </is>
      </c>
      <c r="R315" t="inlineStr">
        <is>
          <t xml:space="preserve">PG </t>
        </is>
      </c>
      <c r="S315" t="n">
        <v>4</v>
      </c>
      <c r="T315" t="n">
        <v>4</v>
      </c>
      <c r="U315" t="inlineStr">
        <is>
          <t>2005-03-29</t>
        </is>
      </c>
      <c r="V315" t="inlineStr">
        <is>
          <t>2005-03-29</t>
        </is>
      </c>
      <c r="W315" t="inlineStr">
        <is>
          <t>2001-08-23</t>
        </is>
      </c>
      <c r="X315" t="inlineStr">
        <is>
          <t>2001-08-23</t>
        </is>
      </c>
      <c r="Y315" t="n">
        <v>239</v>
      </c>
      <c r="Z315" t="n">
        <v>197</v>
      </c>
      <c r="AA315" t="n">
        <v>1104</v>
      </c>
      <c r="AB315" t="n">
        <v>3</v>
      </c>
      <c r="AC315" t="n">
        <v>7</v>
      </c>
      <c r="AD315" t="n">
        <v>12</v>
      </c>
      <c r="AE315" t="n">
        <v>48</v>
      </c>
      <c r="AF315" t="n">
        <v>3</v>
      </c>
      <c r="AG315" t="n">
        <v>21</v>
      </c>
      <c r="AH315" t="n">
        <v>2</v>
      </c>
      <c r="AI315" t="n">
        <v>10</v>
      </c>
      <c r="AJ315" t="n">
        <v>8</v>
      </c>
      <c r="AK315" t="n">
        <v>22</v>
      </c>
      <c r="AL315" t="n">
        <v>2</v>
      </c>
      <c r="AM315" t="n">
        <v>6</v>
      </c>
      <c r="AN315" t="n">
        <v>0</v>
      </c>
      <c r="AO315" t="n">
        <v>0</v>
      </c>
      <c r="AP315" t="inlineStr">
        <is>
          <t>No</t>
        </is>
      </c>
      <c r="AQ315" t="inlineStr">
        <is>
          <t>No</t>
        </is>
      </c>
      <c r="AS315">
        <f>HYPERLINK("https://creighton-primo.hosted.exlibrisgroup.com/primo-explore/search?tab=default_tab&amp;search_scope=EVERYTHING&amp;vid=01CRU&amp;lang=en_US&amp;offset=0&amp;query=any,contains,991003598699702656","Catalog Record")</f>
        <v/>
      </c>
      <c r="AT315">
        <f>HYPERLINK("http://www.worldcat.org/oclc/31288607","WorldCat Record")</f>
        <v/>
      </c>
      <c r="AU315" t="inlineStr">
        <is>
          <t>376740441:eng</t>
        </is>
      </c>
      <c r="AV315" t="inlineStr">
        <is>
          <t>31288607</t>
        </is>
      </c>
      <c r="AW315" t="inlineStr">
        <is>
          <t>991003598699702656</t>
        </is>
      </c>
      <c r="AX315" t="inlineStr">
        <is>
          <t>991003598699702656</t>
        </is>
      </c>
      <c r="AY315" t="inlineStr">
        <is>
          <t>2260300340002656</t>
        </is>
      </c>
      <c r="AZ315" t="inlineStr">
        <is>
          <t>BOOK</t>
        </is>
      </c>
      <c r="BB315" t="inlineStr">
        <is>
          <t>9780140184624</t>
        </is>
      </c>
      <c r="BC315" t="inlineStr">
        <is>
          <t>32285004380852</t>
        </is>
      </c>
      <c r="BD315" t="inlineStr">
        <is>
          <t>893705408</t>
        </is>
      </c>
    </row>
    <row r="316">
      <c r="A316" t="inlineStr">
        <is>
          <t>No</t>
        </is>
      </c>
      <c r="B316" t="inlineStr">
        <is>
          <t>PG3476.B2 Y6</t>
        </is>
      </c>
      <c r="C316" t="inlineStr">
        <is>
          <t>0                      PG 3476000B  2                  Y  6</t>
        </is>
      </c>
      <c r="D316" t="inlineStr">
        <is>
          <t>You must know everything : stories, 1915-1937 / [by] Isaac Babel. Translated from the Russian by Max Hayward. Edited, and with notes by Nathalie Babel.</t>
        </is>
      </c>
      <c r="F316" t="inlineStr">
        <is>
          <t>No</t>
        </is>
      </c>
      <c r="G316" t="inlineStr">
        <is>
          <t>1</t>
        </is>
      </c>
      <c r="H316" t="inlineStr">
        <is>
          <t>No</t>
        </is>
      </c>
      <c r="I316" t="inlineStr">
        <is>
          <t>No</t>
        </is>
      </c>
      <c r="J316" t="inlineStr">
        <is>
          <t>0</t>
        </is>
      </c>
      <c r="K316" t="inlineStr">
        <is>
          <t>Babelʹ, I. (Isaak), 1894-1940.</t>
        </is>
      </c>
      <c r="L316" t="inlineStr">
        <is>
          <t>New York : Farrar, Straus and Giroux, [1969]</t>
        </is>
      </c>
      <c r="M316" t="inlineStr">
        <is>
          <t>1969</t>
        </is>
      </c>
      <c r="O316" t="inlineStr">
        <is>
          <t>eng</t>
        </is>
      </c>
      <c r="P316" t="inlineStr">
        <is>
          <t>nyu</t>
        </is>
      </c>
      <c r="R316" t="inlineStr">
        <is>
          <t xml:space="preserve">PG </t>
        </is>
      </c>
      <c r="S316" t="n">
        <v>4</v>
      </c>
      <c r="T316" t="n">
        <v>4</v>
      </c>
      <c r="U316" t="inlineStr">
        <is>
          <t>1996-10-04</t>
        </is>
      </c>
      <c r="V316" t="inlineStr">
        <is>
          <t>1996-10-04</t>
        </is>
      </c>
      <c r="W316" t="inlineStr">
        <is>
          <t>1993-12-13</t>
        </is>
      </c>
      <c r="X316" t="inlineStr">
        <is>
          <t>1993-12-13</t>
        </is>
      </c>
      <c r="Y316" t="n">
        <v>916</v>
      </c>
      <c r="Z316" t="n">
        <v>844</v>
      </c>
      <c r="AA316" t="n">
        <v>906</v>
      </c>
      <c r="AB316" t="n">
        <v>7</v>
      </c>
      <c r="AC316" t="n">
        <v>7</v>
      </c>
      <c r="AD316" t="n">
        <v>31</v>
      </c>
      <c r="AE316" t="n">
        <v>33</v>
      </c>
      <c r="AF316" t="n">
        <v>11</v>
      </c>
      <c r="AG316" t="n">
        <v>13</v>
      </c>
      <c r="AH316" t="n">
        <v>8</v>
      </c>
      <c r="AI316" t="n">
        <v>9</v>
      </c>
      <c r="AJ316" t="n">
        <v>15</v>
      </c>
      <c r="AK316" t="n">
        <v>16</v>
      </c>
      <c r="AL316" t="n">
        <v>5</v>
      </c>
      <c r="AM316" t="n">
        <v>5</v>
      </c>
      <c r="AN316" t="n">
        <v>0</v>
      </c>
      <c r="AO316" t="n">
        <v>0</v>
      </c>
      <c r="AP316" t="inlineStr">
        <is>
          <t>No</t>
        </is>
      </c>
      <c r="AQ316" t="inlineStr">
        <is>
          <t>No</t>
        </is>
      </c>
      <c r="AS316">
        <f>HYPERLINK("https://creighton-primo.hosted.exlibrisgroup.com/primo-explore/search?tab=default_tab&amp;search_scope=EVERYTHING&amp;vid=01CRU&amp;lang=en_US&amp;offset=0&amp;query=any,contains,991000002879702656","Catalog Record")</f>
        <v/>
      </c>
      <c r="AT316">
        <f>HYPERLINK("http://www.worldcat.org/oclc/11740","WorldCat Record")</f>
        <v/>
      </c>
      <c r="AU316" t="inlineStr">
        <is>
          <t>376743865:eng</t>
        </is>
      </c>
      <c r="AV316" t="inlineStr">
        <is>
          <t>11740</t>
        </is>
      </c>
      <c r="AW316" t="inlineStr">
        <is>
          <t>991000002879702656</t>
        </is>
      </c>
      <c r="AX316" t="inlineStr">
        <is>
          <t>991000002879702656</t>
        </is>
      </c>
      <c r="AY316" t="inlineStr">
        <is>
          <t>2265489880002656</t>
        </is>
      </c>
      <c r="AZ316" t="inlineStr">
        <is>
          <t>BOOK</t>
        </is>
      </c>
      <c r="BC316" t="inlineStr">
        <is>
          <t>32285001808053</t>
        </is>
      </c>
      <c r="BD316" t="inlineStr">
        <is>
          <t>893796315</t>
        </is>
      </c>
    </row>
    <row r="317">
      <c r="A317" t="inlineStr">
        <is>
          <t>No</t>
        </is>
      </c>
      <c r="B317" t="inlineStr">
        <is>
          <t>PG3476.B2 Z778 1996</t>
        </is>
      </c>
      <c r="C317" t="inlineStr">
        <is>
          <t>0                      PG 3476000B  2                  Z  778         1996</t>
        </is>
      </c>
      <c r="D317" t="inlineStr">
        <is>
          <t>At his side : the last years of Isaac Babel / A.N. Pirozhkova ; translated by Anne Frydman &amp; Robert L. Busch.</t>
        </is>
      </c>
      <c r="F317" t="inlineStr">
        <is>
          <t>No</t>
        </is>
      </c>
      <c r="G317" t="inlineStr">
        <is>
          <t>1</t>
        </is>
      </c>
      <c r="H317" t="inlineStr">
        <is>
          <t>No</t>
        </is>
      </c>
      <c r="I317" t="inlineStr">
        <is>
          <t>No</t>
        </is>
      </c>
      <c r="J317" t="inlineStr">
        <is>
          <t>0</t>
        </is>
      </c>
      <c r="K317" t="inlineStr">
        <is>
          <t>Pirozhkova, A. N. (Antonina Nikolaevna)</t>
        </is>
      </c>
      <c r="L317" t="inlineStr">
        <is>
          <t>South Royalton, Vt. : Steerforth Press, c1996.</t>
        </is>
      </c>
      <c r="M317" t="inlineStr">
        <is>
          <t>1996</t>
        </is>
      </c>
      <c r="N317" t="inlineStr">
        <is>
          <t>1st ed.</t>
        </is>
      </c>
      <c r="O317" t="inlineStr">
        <is>
          <t>eng</t>
        </is>
      </c>
      <c r="P317" t="inlineStr">
        <is>
          <t>vtu</t>
        </is>
      </c>
      <c r="R317" t="inlineStr">
        <is>
          <t xml:space="preserve">PG </t>
        </is>
      </c>
      <c r="S317" t="n">
        <v>1</v>
      </c>
      <c r="T317" t="n">
        <v>1</v>
      </c>
      <c r="U317" t="inlineStr">
        <is>
          <t>2002-12-06</t>
        </is>
      </c>
      <c r="V317" t="inlineStr">
        <is>
          <t>2002-12-06</t>
        </is>
      </c>
      <c r="W317" t="inlineStr">
        <is>
          <t>1997-02-10</t>
        </is>
      </c>
      <c r="X317" t="inlineStr">
        <is>
          <t>1997-02-10</t>
        </is>
      </c>
      <c r="Y317" t="n">
        <v>431</v>
      </c>
      <c r="Z317" t="n">
        <v>389</v>
      </c>
      <c r="AA317" t="n">
        <v>400</v>
      </c>
      <c r="AB317" t="n">
        <v>3</v>
      </c>
      <c r="AC317" t="n">
        <v>3</v>
      </c>
      <c r="AD317" t="n">
        <v>20</v>
      </c>
      <c r="AE317" t="n">
        <v>21</v>
      </c>
      <c r="AF317" t="n">
        <v>6</v>
      </c>
      <c r="AG317" t="n">
        <v>7</v>
      </c>
      <c r="AH317" t="n">
        <v>7</v>
      </c>
      <c r="AI317" t="n">
        <v>7</v>
      </c>
      <c r="AJ317" t="n">
        <v>11</v>
      </c>
      <c r="AK317" t="n">
        <v>11</v>
      </c>
      <c r="AL317" t="n">
        <v>2</v>
      </c>
      <c r="AM317" t="n">
        <v>2</v>
      </c>
      <c r="AN317" t="n">
        <v>0</v>
      </c>
      <c r="AO317" t="n">
        <v>0</v>
      </c>
      <c r="AP317" t="inlineStr">
        <is>
          <t>No</t>
        </is>
      </c>
      <c r="AQ317" t="inlineStr">
        <is>
          <t>Yes</t>
        </is>
      </c>
      <c r="AR317">
        <f>HYPERLINK("http://catalog.hathitrust.org/Record/003137738","HathiTrust Record")</f>
        <v/>
      </c>
      <c r="AS317">
        <f>HYPERLINK("https://creighton-primo.hosted.exlibrisgroup.com/primo-explore/search?tab=default_tab&amp;search_scope=EVERYTHING&amp;vid=01CRU&amp;lang=en_US&amp;offset=0&amp;query=any,contains,991002691209702656","Catalog Record")</f>
        <v/>
      </c>
      <c r="AT317">
        <f>HYPERLINK("http://www.worldcat.org/oclc/35151292","WorldCat Record")</f>
        <v/>
      </c>
      <c r="AU317" t="inlineStr">
        <is>
          <t>5481503491:eng</t>
        </is>
      </c>
      <c r="AV317" t="inlineStr">
        <is>
          <t>35151292</t>
        </is>
      </c>
      <c r="AW317" t="inlineStr">
        <is>
          <t>991002691209702656</t>
        </is>
      </c>
      <c r="AX317" t="inlineStr">
        <is>
          <t>991002691209702656</t>
        </is>
      </c>
      <c r="AY317" t="inlineStr">
        <is>
          <t>2259538150002656</t>
        </is>
      </c>
      <c r="AZ317" t="inlineStr">
        <is>
          <t>BOOK</t>
        </is>
      </c>
      <c r="BB317" t="inlineStr">
        <is>
          <t>9781883642372</t>
        </is>
      </c>
      <c r="BC317" t="inlineStr">
        <is>
          <t>32285002430162</t>
        </is>
      </c>
      <c r="BD317" t="inlineStr">
        <is>
          <t>893798888</t>
        </is>
      </c>
    </row>
    <row r="318">
      <c r="A318" t="inlineStr">
        <is>
          <t>No</t>
        </is>
      </c>
      <c r="B318" t="inlineStr">
        <is>
          <t>PG3476.E5 B76 1957</t>
        </is>
      </c>
      <c r="C318" t="inlineStr">
        <is>
          <t>0                      PG 3476000E  5                  B  76          1957</t>
        </is>
      </c>
      <c r="D318" t="inlineStr">
        <is>
          <t>Buri͡a : roman / Ilʹi͡a Ėrenburg ; oformlenie khudozhnika S. Telinzamera.</t>
        </is>
      </c>
      <c r="F318" t="inlineStr">
        <is>
          <t>No</t>
        </is>
      </c>
      <c r="G318" t="inlineStr">
        <is>
          <t>1</t>
        </is>
      </c>
      <c r="H318" t="inlineStr">
        <is>
          <t>No</t>
        </is>
      </c>
      <c r="I318" t="inlineStr">
        <is>
          <t>No</t>
        </is>
      </c>
      <c r="J318" t="inlineStr">
        <is>
          <t>0</t>
        </is>
      </c>
      <c r="K318" t="inlineStr">
        <is>
          <t>Ėrenburg, Ilʹi︠a︡, 1891-1967.</t>
        </is>
      </c>
      <c r="L318" t="inlineStr">
        <is>
          <t>Moskva : Gos. izd-vo khudozh. lit-ry, 1957.</t>
        </is>
      </c>
      <c r="M318" t="inlineStr">
        <is>
          <t>1957</t>
        </is>
      </c>
      <c r="O318" t="inlineStr">
        <is>
          <t>rus</t>
        </is>
      </c>
      <c r="P318" t="inlineStr">
        <is>
          <t xml:space="preserve">ru </t>
        </is>
      </c>
      <c r="R318" t="inlineStr">
        <is>
          <t xml:space="preserve">PG </t>
        </is>
      </c>
      <c r="S318" t="n">
        <v>7</v>
      </c>
      <c r="T318" t="n">
        <v>7</v>
      </c>
      <c r="U318" t="inlineStr">
        <is>
          <t>1998-04-30</t>
        </is>
      </c>
      <c r="V318" t="inlineStr">
        <is>
          <t>1998-04-30</t>
        </is>
      </c>
      <c r="W318" t="inlineStr">
        <is>
          <t>1997-12-16</t>
        </is>
      </c>
      <c r="X318" t="inlineStr">
        <is>
          <t>1997-12-16</t>
        </is>
      </c>
      <c r="Y318" t="n">
        <v>29</v>
      </c>
      <c r="Z318" t="n">
        <v>23</v>
      </c>
      <c r="AA318" t="n">
        <v>111</v>
      </c>
      <c r="AB318" t="n">
        <v>1</v>
      </c>
      <c r="AC318" t="n">
        <v>2</v>
      </c>
      <c r="AD318" t="n">
        <v>2</v>
      </c>
      <c r="AE318" t="n">
        <v>5</v>
      </c>
      <c r="AF318" t="n">
        <v>0</v>
      </c>
      <c r="AG318" t="n">
        <v>1</v>
      </c>
      <c r="AH318" t="n">
        <v>1</v>
      </c>
      <c r="AI318" t="n">
        <v>2</v>
      </c>
      <c r="AJ318" t="n">
        <v>2</v>
      </c>
      <c r="AK318" t="n">
        <v>3</v>
      </c>
      <c r="AL318" t="n">
        <v>0</v>
      </c>
      <c r="AM318" t="n">
        <v>1</v>
      </c>
      <c r="AN318" t="n">
        <v>0</v>
      </c>
      <c r="AO318" t="n">
        <v>0</v>
      </c>
      <c r="AP318" t="inlineStr">
        <is>
          <t>No</t>
        </is>
      </c>
      <c r="AQ318" t="inlineStr">
        <is>
          <t>No</t>
        </is>
      </c>
      <c r="AS318">
        <f>HYPERLINK("https://creighton-primo.hosted.exlibrisgroup.com/primo-explore/search?tab=default_tab&amp;search_scope=EVERYTHING&amp;vid=01CRU&amp;lang=en_US&amp;offset=0&amp;query=any,contains,991000645219702656","Catalog Record")</f>
        <v/>
      </c>
      <c r="AT318">
        <f>HYPERLINK("http://www.worldcat.org/oclc/12126635","WorldCat Record")</f>
        <v/>
      </c>
      <c r="AU318" t="inlineStr">
        <is>
          <t>1737448:rus</t>
        </is>
      </c>
      <c r="AV318" t="inlineStr">
        <is>
          <t>12126635</t>
        </is>
      </c>
      <c r="AW318" t="inlineStr">
        <is>
          <t>991000645219702656</t>
        </is>
      </c>
      <c r="AX318" t="inlineStr">
        <is>
          <t>991000645219702656</t>
        </is>
      </c>
      <c r="AY318" t="inlineStr">
        <is>
          <t>2258395170002656</t>
        </is>
      </c>
      <c r="AZ318" t="inlineStr">
        <is>
          <t>BOOK</t>
        </is>
      </c>
      <c r="BC318" t="inlineStr">
        <is>
          <t>32285003292058</t>
        </is>
      </c>
      <c r="BD318" t="inlineStr">
        <is>
          <t>893796857</t>
        </is>
      </c>
    </row>
    <row r="319">
      <c r="A319" t="inlineStr">
        <is>
          <t>No</t>
        </is>
      </c>
      <c r="B319" t="inlineStr">
        <is>
          <t>PG3476.E5 P3 1942a</t>
        </is>
      </c>
      <c r="C319" t="inlineStr">
        <is>
          <t>0                      PG 3476000E  5                  P  3           1942a</t>
        </is>
      </c>
      <c r="D319" t="inlineStr">
        <is>
          <t>Padenie Parizha : roman.</t>
        </is>
      </c>
      <c r="F319" t="inlineStr">
        <is>
          <t>No</t>
        </is>
      </c>
      <c r="G319" t="inlineStr">
        <is>
          <t>1</t>
        </is>
      </c>
      <c r="H319" t="inlineStr">
        <is>
          <t>No</t>
        </is>
      </c>
      <c r="I319" t="inlineStr">
        <is>
          <t>No</t>
        </is>
      </c>
      <c r="J319" t="inlineStr">
        <is>
          <t>0</t>
        </is>
      </c>
      <c r="K319" t="inlineStr">
        <is>
          <t>Ėrenburg, Ilʹi︠a︡, 1891-1967.</t>
        </is>
      </c>
      <c r="L319" t="inlineStr">
        <is>
          <t>Moskva : Gosudarstvennoe izd-vo khudozh. lit-ry, 1959.</t>
        </is>
      </c>
      <c r="M319" t="inlineStr">
        <is>
          <t>1959</t>
        </is>
      </c>
      <c r="O319" t="inlineStr">
        <is>
          <t>rus</t>
        </is>
      </c>
      <c r="P319" t="inlineStr">
        <is>
          <t xml:space="preserve">ru </t>
        </is>
      </c>
      <c r="R319" t="inlineStr">
        <is>
          <t xml:space="preserve">PG </t>
        </is>
      </c>
      <c r="S319" t="n">
        <v>1</v>
      </c>
      <c r="T319" t="n">
        <v>1</v>
      </c>
      <c r="U319" t="inlineStr">
        <is>
          <t>2010-03-29</t>
        </is>
      </c>
      <c r="V319" t="inlineStr">
        <is>
          <t>2010-03-29</t>
        </is>
      </c>
      <c r="W319" t="inlineStr">
        <is>
          <t>1997-12-23</t>
        </is>
      </c>
      <c r="X319" t="inlineStr">
        <is>
          <t>1997-12-23</t>
        </is>
      </c>
      <c r="Y319" t="n">
        <v>75</v>
      </c>
      <c r="Z319" t="n">
        <v>58</v>
      </c>
      <c r="AA319" t="n">
        <v>93</v>
      </c>
      <c r="AB319" t="n">
        <v>2</v>
      </c>
      <c r="AC319" t="n">
        <v>2</v>
      </c>
      <c r="AD319" t="n">
        <v>5</v>
      </c>
      <c r="AE319" t="n">
        <v>5</v>
      </c>
      <c r="AF319" t="n">
        <v>1</v>
      </c>
      <c r="AG319" t="n">
        <v>1</v>
      </c>
      <c r="AH319" t="n">
        <v>1</v>
      </c>
      <c r="AI319" t="n">
        <v>1</v>
      </c>
      <c r="AJ319" t="n">
        <v>4</v>
      </c>
      <c r="AK319" t="n">
        <v>4</v>
      </c>
      <c r="AL319" t="n">
        <v>1</v>
      </c>
      <c r="AM319" t="n">
        <v>1</v>
      </c>
      <c r="AN319" t="n">
        <v>0</v>
      </c>
      <c r="AO319" t="n">
        <v>0</v>
      </c>
      <c r="AP319" t="inlineStr">
        <is>
          <t>No</t>
        </is>
      </c>
      <c r="AQ319" t="inlineStr">
        <is>
          <t>No</t>
        </is>
      </c>
      <c r="AS319">
        <f>HYPERLINK("https://creighton-primo.hosted.exlibrisgroup.com/primo-explore/search?tab=default_tab&amp;search_scope=EVERYTHING&amp;vid=01CRU&amp;lang=en_US&amp;offset=0&amp;query=any,contains,991002568369702656","Catalog Record")</f>
        <v/>
      </c>
      <c r="AT319">
        <f>HYPERLINK("http://www.worldcat.org/oclc/5385765","WorldCat Record")</f>
        <v/>
      </c>
      <c r="AU319" t="inlineStr">
        <is>
          <t>10033269229:rus</t>
        </is>
      </c>
      <c r="AV319" t="inlineStr">
        <is>
          <t>5385765</t>
        </is>
      </c>
      <c r="AW319" t="inlineStr">
        <is>
          <t>991002568369702656</t>
        </is>
      </c>
      <c r="AX319" t="inlineStr">
        <is>
          <t>991002568369702656</t>
        </is>
      </c>
      <c r="AY319" t="inlineStr">
        <is>
          <t>2254987830002656</t>
        </is>
      </c>
      <c r="AZ319" t="inlineStr">
        <is>
          <t>BOOK</t>
        </is>
      </c>
      <c r="BC319" t="inlineStr">
        <is>
          <t>32285003284550</t>
        </is>
      </c>
      <c r="BD319" t="inlineStr">
        <is>
          <t>893903970</t>
        </is>
      </c>
    </row>
    <row r="320">
      <c r="A320" t="inlineStr">
        <is>
          <t>No</t>
        </is>
      </c>
      <c r="B320" t="inlineStr">
        <is>
          <t>PG3476.E8 Z8494</t>
        </is>
      </c>
      <c r="C320" t="inlineStr">
        <is>
          <t>0                      PG 3476000E  8                  Z  8494</t>
        </is>
      </c>
      <c r="D320" t="inlineStr">
        <is>
          <t>Sergey Esenin / by Constantin V. Ponomareff.</t>
        </is>
      </c>
      <c r="F320" t="inlineStr">
        <is>
          <t>No</t>
        </is>
      </c>
      <c r="G320" t="inlineStr">
        <is>
          <t>1</t>
        </is>
      </c>
      <c r="H320" t="inlineStr">
        <is>
          <t>No</t>
        </is>
      </c>
      <c r="I320" t="inlineStr">
        <is>
          <t>No</t>
        </is>
      </c>
      <c r="J320" t="inlineStr">
        <is>
          <t>0</t>
        </is>
      </c>
      <c r="K320" t="inlineStr">
        <is>
          <t>Ponomareff, Constantin V.</t>
        </is>
      </c>
      <c r="L320" t="inlineStr">
        <is>
          <t>Boston : Twayne Publishers, c1978.</t>
        </is>
      </c>
      <c r="M320" t="inlineStr">
        <is>
          <t>1978</t>
        </is>
      </c>
      <c r="O320" t="inlineStr">
        <is>
          <t>eng</t>
        </is>
      </c>
      <c r="P320" t="inlineStr">
        <is>
          <t>mau</t>
        </is>
      </c>
      <c r="Q320" t="inlineStr">
        <is>
          <t>Twayne's world authors series ; TWAS 478 : Soviet Union</t>
        </is>
      </c>
      <c r="R320" t="inlineStr">
        <is>
          <t xml:space="preserve">PG </t>
        </is>
      </c>
      <c r="S320" t="n">
        <v>1</v>
      </c>
      <c r="T320" t="n">
        <v>1</v>
      </c>
      <c r="U320" t="inlineStr">
        <is>
          <t>2002-12-01</t>
        </is>
      </c>
      <c r="V320" t="inlineStr">
        <is>
          <t>2002-12-01</t>
        </is>
      </c>
      <c r="W320" t="inlineStr">
        <is>
          <t>1997-09-08</t>
        </is>
      </c>
      <c r="X320" t="inlineStr">
        <is>
          <t>1997-09-08</t>
        </is>
      </c>
      <c r="Y320" t="n">
        <v>468</v>
      </c>
      <c r="Z320" t="n">
        <v>404</v>
      </c>
      <c r="AA320" t="n">
        <v>411</v>
      </c>
      <c r="AB320" t="n">
        <v>2</v>
      </c>
      <c r="AC320" t="n">
        <v>2</v>
      </c>
      <c r="AD320" t="n">
        <v>21</v>
      </c>
      <c r="AE320" t="n">
        <v>21</v>
      </c>
      <c r="AF320" t="n">
        <v>9</v>
      </c>
      <c r="AG320" t="n">
        <v>9</v>
      </c>
      <c r="AH320" t="n">
        <v>5</v>
      </c>
      <c r="AI320" t="n">
        <v>5</v>
      </c>
      <c r="AJ320" t="n">
        <v>12</v>
      </c>
      <c r="AK320" t="n">
        <v>12</v>
      </c>
      <c r="AL320" t="n">
        <v>1</v>
      </c>
      <c r="AM320" t="n">
        <v>1</v>
      </c>
      <c r="AN320" t="n">
        <v>0</v>
      </c>
      <c r="AO320" t="n">
        <v>0</v>
      </c>
      <c r="AP320" t="inlineStr">
        <is>
          <t>No</t>
        </is>
      </c>
      <c r="AQ320" t="inlineStr">
        <is>
          <t>Yes</t>
        </is>
      </c>
      <c r="AR320">
        <f>HYPERLINK("http://catalog.hathitrust.org/Record/000750781","HathiTrust Record")</f>
        <v/>
      </c>
      <c r="AS320">
        <f>HYPERLINK("https://creighton-primo.hosted.exlibrisgroup.com/primo-explore/search?tab=default_tab&amp;search_scope=EVERYTHING&amp;vid=01CRU&amp;lang=en_US&amp;offset=0&amp;query=any,contains,991004419909702656","Catalog Record")</f>
        <v/>
      </c>
      <c r="AT320">
        <f>HYPERLINK("http://www.worldcat.org/oclc/3380073","WorldCat Record")</f>
        <v/>
      </c>
      <c r="AU320" t="inlineStr">
        <is>
          <t>9866942:eng</t>
        </is>
      </c>
      <c r="AV320" t="inlineStr">
        <is>
          <t>3380073</t>
        </is>
      </c>
      <c r="AW320" t="inlineStr">
        <is>
          <t>991004419909702656</t>
        </is>
      </c>
      <c r="AX320" t="inlineStr">
        <is>
          <t>991004419909702656</t>
        </is>
      </c>
      <c r="AY320" t="inlineStr">
        <is>
          <t>2272760480002656</t>
        </is>
      </c>
      <c r="AZ320" t="inlineStr">
        <is>
          <t>BOOK</t>
        </is>
      </c>
      <c r="BB320" t="inlineStr">
        <is>
          <t>9780805763195</t>
        </is>
      </c>
      <c r="BC320" t="inlineStr">
        <is>
          <t>32285003199956</t>
        </is>
      </c>
      <c r="BD320" t="inlineStr">
        <is>
          <t>893618645</t>
        </is>
      </c>
    </row>
    <row r="321">
      <c r="A321" t="inlineStr">
        <is>
          <t>No</t>
        </is>
      </c>
      <c r="B321" t="inlineStr">
        <is>
          <t>PG3476.E96 A27</t>
        </is>
      </c>
      <c r="C321" t="inlineStr">
        <is>
          <t>0                      PG 3476000E  96                 A  27</t>
        </is>
      </c>
      <c r="D321" t="inlineStr">
        <is>
          <t>The poetry of Yevgeny Yevtushenko, 1953-1965 / Translated, with an introd., by George Reavey.</t>
        </is>
      </c>
      <c r="F321" t="inlineStr">
        <is>
          <t>No</t>
        </is>
      </c>
      <c r="G321" t="inlineStr">
        <is>
          <t>1</t>
        </is>
      </c>
      <c r="H321" t="inlineStr">
        <is>
          <t>No</t>
        </is>
      </c>
      <c r="I321" t="inlineStr">
        <is>
          <t>No</t>
        </is>
      </c>
      <c r="J321" t="inlineStr">
        <is>
          <t>0</t>
        </is>
      </c>
      <c r="K321" t="inlineStr">
        <is>
          <t>Yevtushenko, Yevgeny Aleksandrovich, 1933-2017.</t>
        </is>
      </c>
      <c r="L321" t="inlineStr">
        <is>
          <t>New York, October House, 1965.</t>
        </is>
      </c>
      <c r="M321" t="inlineStr">
        <is>
          <t>1965</t>
        </is>
      </c>
      <c r="N321" t="inlineStr">
        <is>
          <t>Bilingual ed.</t>
        </is>
      </c>
      <c r="O321" t="inlineStr">
        <is>
          <t>eng</t>
        </is>
      </c>
      <c r="P321" t="inlineStr">
        <is>
          <t>nyu</t>
        </is>
      </c>
      <c r="R321" t="inlineStr">
        <is>
          <t xml:space="preserve">PG </t>
        </is>
      </c>
      <c r="S321" t="n">
        <v>1</v>
      </c>
      <c r="T321" t="n">
        <v>1</v>
      </c>
      <c r="U321" t="inlineStr">
        <is>
          <t>2005-02-05</t>
        </is>
      </c>
      <c r="V321" t="inlineStr">
        <is>
          <t>2005-02-05</t>
        </is>
      </c>
      <c r="W321" t="inlineStr">
        <is>
          <t>1997-09-08</t>
        </is>
      </c>
      <c r="X321" t="inlineStr">
        <is>
          <t>1997-09-08</t>
        </is>
      </c>
      <c r="Y321" t="n">
        <v>528</v>
      </c>
      <c r="Z321" t="n">
        <v>507</v>
      </c>
      <c r="AA321" t="n">
        <v>519</v>
      </c>
      <c r="AB321" t="n">
        <v>6</v>
      </c>
      <c r="AC321" t="n">
        <v>6</v>
      </c>
      <c r="AD321" t="n">
        <v>20</v>
      </c>
      <c r="AE321" t="n">
        <v>20</v>
      </c>
      <c r="AF321" t="n">
        <v>3</v>
      </c>
      <c r="AG321" t="n">
        <v>3</v>
      </c>
      <c r="AH321" t="n">
        <v>5</v>
      </c>
      <c r="AI321" t="n">
        <v>5</v>
      </c>
      <c r="AJ321" t="n">
        <v>12</v>
      </c>
      <c r="AK321" t="n">
        <v>12</v>
      </c>
      <c r="AL321" t="n">
        <v>4</v>
      </c>
      <c r="AM321" t="n">
        <v>4</v>
      </c>
      <c r="AN321" t="n">
        <v>0</v>
      </c>
      <c r="AO321" t="n">
        <v>0</v>
      </c>
      <c r="AP321" t="inlineStr">
        <is>
          <t>No</t>
        </is>
      </c>
      <c r="AQ321" t="inlineStr">
        <is>
          <t>Yes</t>
        </is>
      </c>
      <c r="AR321">
        <f>HYPERLINK("http://catalog.hathitrust.org/Record/001224566","HathiTrust Record")</f>
        <v/>
      </c>
      <c r="AS321">
        <f>HYPERLINK("https://creighton-primo.hosted.exlibrisgroup.com/primo-explore/search?tab=default_tab&amp;search_scope=EVERYTHING&amp;vid=01CRU&amp;lang=en_US&amp;offset=0&amp;query=any,contains,991001915349702656","Catalog Record")</f>
        <v/>
      </c>
      <c r="AT321">
        <f>HYPERLINK("http://www.worldcat.org/oclc/243495","WorldCat Record")</f>
        <v/>
      </c>
      <c r="AU321" t="inlineStr">
        <is>
          <t>3856404913:eng</t>
        </is>
      </c>
      <c r="AV321" t="inlineStr">
        <is>
          <t>243495</t>
        </is>
      </c>
      <c r="AW321" t="inlineStr">
        <is>
          <t>991001915349702656</t>
        </is>
      </c>
      <c r="AX321" t="inlineStr">
        <is>
          <t>991001915349702656</t>
        </is>
      </c>
      <c r="AY321" t="inlineStr">
        <is>
          <t>2270571090002656</t>
        </is>
      </c>
      <c r="AZ321" t="inlineStr">
        <is>
          <t>BOOK</t>
        </is>
      </c>
      <c r="BC321" t="inlineStr">
        <is>
          <t>32285003167904</t>
        </is>
      </c>
      <c r="BD321" t="inlineStr">
        <is>
          <t>893797928</t>
        </is>
      </c>
    </row>
    <row r="322">
      <c r="A322" t="inlineStr">
        <is>
          <t>No</t>
        </is>
      </c>
      <c r="B322" t="inlineStr">
        <is>
          <t>PG3476.E96 A283 1967</t>
        </is>
      </c>
      <c r="C322" t="inlineStr">
        <is>
          <t>0                      PG 3476000E  96                 A  283         1967</t>
        </is>
      </c>
      <c r="D322" t="inlineStr">
        <is>
          <t>Bratsk Station, and other new poems, by Yevgeny Yevtushenko. Translated by Tina Tupikina-Glaessner, Geoffrey Dutton [and] Igor Mezhakoff-Koriakin. With an introd. by Rosh Ireland.</t>
        </is>
      </c>
      <c r="F322" t="inlineStr">
        <is>
          <t>No</t>
        </is>
      </c>
      <c r="G322" t="inlineStr">
        <is>
          <t>1</t>
        </is>
      </c>
      <c r="H322" t="inlineStr">
        <is>
          <t>No</t>
        </is>
      </c>
      <c r="I322" t="inlineStr">
        <is>
          <t>No</t>
        </is>
      </c>
      <c r="J322" t="inlineStr">
        <is>
          <t>0</t>
        </is>
      </c>
      <c r="K322" t="inlineStr">
        <is>
          <t>Yevtushenko, Yevgeny Aleksandrovich, 1933-2017.</t>
        </is>
      </c>
      <c r="L322" t="inlineStr">
        <is>
          <t>New York, Praeger [1967, c1966]</t>
        </is>
      </c>
      <c r="M322" t="inlineStr">
        <is>
          <t>1967</t>
        </is>
      </c>
      <c r="O322" t="inlineStr">
        <is>
          <t>eng</t>
        </is>
      </c>
      <c r="P322" t="inlineStr">
        <is>
          <t>nyu</t>
        </is>
      </c>
      <c r="R322" t="inlineStr">
        <is>
          <t xml:space="preserve">PG </t>
        </is>
      </c>
      <c r="S322" t="n">
        <v>3</v>
      </c>
      <c r="T322" t="n">
        <v>3</v>
      </c>
      <c r="U322" t="inlineStr">
        <is>
          <t>2002-12-06</t>
        </is>
      </c>
      <c r="V322" t="inlineStr">
        <is>
          <t>2002-12-06</t>
        </is>
      </c>
      <c r="W322" t="inlineStr">
        <is>
          <t>1997-09-08</t>
        </is>
      </c>
      <c r="X322" t="inlineStr">
        <is>
          <t>1997-09-08</t>
        </is>
      </c>
      <c r="Y322" t="n">
        <v>418</v>
      </c>
      <c r="Z322" t="n">
        <v>394</v>
      </c>
      <c r="AA322" t="n">
        <v>921</v>
      </c>
      <c r="AB322" t="n">
        <v>3</v>
      </c>
      <c r="AC322" t="n">
        <v>7</v>
      </c>
      <c r="AD322" t="n">
        <v>12</v>
      </c>
      <c r="AE322" t="n">
        <v>33</v>
      </c>
      <c r="AF322" t="n">
        <v>5</v>
      </c>
      <c r="AG322" t="n">
        <v>14</v>
      </c>
      <c r="AH322" t="n">
        <v>3</v>
      </c>
      <c r="AI322" t="n">
        <v>6</v>
      </c>
      <c r="AJ322" t="n">
        <v>3</v>
      </c>
      <c r="AK322" t="n">
        <v>16</v>
      </c>
      <c r="AL322" t="n">
        <v>2</v>
      </c>
      <c r="AM322" t="n">
        <v>5</v>
      </c>
      <c r="AN322" t="n">
        <v>0</v>
      </c>
      <c r="AO322" t="n">
        <v>0</v>
      </c>
      <c r="AP322" t="inlineStr">
        <is>
          <t>No</t>
        </is>
      </c>
      <c r="AQ322" t="inlineStr">
        <is>
          <t>Yes</t>
        </is>
      </c>
      <c r="AR322">
        <f>HYPERLINK("http://catalog.hathitrust.org/Record/001224573","HathiTrust Record")</f>
        <v/>
      </c>
      <c r="AS322">
        <f>HYPERLINK("https://creighton-primo.hosted.exlibrisgroup.com/primo-explore/search?tab=default_tab&amp;search_scope=EVERYTHING&amp;vid=01CRU&amp;lang=en_US&amp;offset=0&amp;query=any,contains,991003918759702656","Catalog Record")</f>
        <v/>
      </c>
      <c r="AT322">
        <f>HYPERLINK("http://www.worldcat.org/oclc/1865040","WorldCat Record")</f>
        <v/>
      </c>
      <c r="AU322" t="inlineStr">
        <is>
          <t>430119260:eng</t>
        </is>
      </c>
      <c r="AV322" t="inlineStr">
        <is>
          <t>1865040</t>
        </is>
      </c>
      <c r="AW322" t="inlineStr">
        <is>
          <t>991003918759702656</t>
        </is>
      </c>
      <c r="AX322" t="inlineStr">
        <is>
          <t>991003918759702656</t>
        </is>
      </c>
      <c r="AY322" t="inlineStr">
        <is>
          <t>2262087560002656</t>
        </is>
      </c>
      <c r="AZ322" t="inlineStr">
        <is>
          <t>BOOK</t>
        </is>
      </c>
      <c r="BC322" t="inlineStr">
        <is>
          <t>32285003199972</t>
        </is>
      </c>
      <c r="BD322" t="inlineStr">
        <is>
          <t>893794262</t>
        </is>
      </c>
    </row>
    <row r="323">
      <c r="A323" t="inlineStr">
        <is>
          <t>No</t>
        </is>
      </c>
      <c r="B323" t="inlineStr">
        <is>
          <t>PG3476.E96 A6 1966</t>
        </is>
      </c>
      <c r="C323" t="inlineStr">
        <is>
          <t>0                      PG 3476000E  96                 A  6           1966</t>
        </is>
      </c>
      <c r="D323" t="inlineStr">
        <is>
          <t>Yevtushenko poems / Introd. by Yevgeny Yevtushenko. Authorized translation by Herbert Marshall.</t>
        </is>
      </c>
      <c r="F323" t="inlineStr">
        <is>
          <t>No</t>
        </is>
      </c>
      <c r="G323" t="inlineStr">
        <is>
          <t>1</t>
        </is>
      </c>
      <c r="H323" t="inlineStr">
        <is>
          <t>No</t>
        </is>
      </c>
      <c r="I323" t="inlineStr">
        <is>
          <t>No</t>
        </is>
      </c>
      <c r="J323" t="inlineStr">
        <is>
          <t>0</t>
        </is>
      </c>
      <c r="K323" t="inlineStr">
        <is>
          <t>Yevtushenko, Yevgeny Aleksandrovich, 1933-2017.</t>
        </is>
      </c>
      <c r="L323" t="inlineStr">
        <is>
          <t>New York, Dutton, 1966.</t>
        </is>
      </c>
      <c r="M323" t="inlineStr">
        <is>
          <t>1966</t>
        </is>
      </c>
      <c r="N323" t="inlineStr">
        <is>
          <t>[1st ed.]</t>
        </is>
      </c>
      <c r="O323" t="inlineStr">
        <is>
          <t>eng</t>
        </is>
      </c>
      <c r="P323" t="inlineStr">
        <is>
          <t>nyu</t>
        </is>
      </c>
      <c r="R323" t="inlineStr">
        <is>
          <t xml:space="preserve">PG </t>
        </is>
      </c>
      <c r="S323" t="n">
        <v>1</v>
      </c>
      <c r="T323" t="n">
        <v>1</v>
      </c>
      <c r="U323" t="inlineStr">
        <is>
          <t>2002-12-01</t>
        </is>
      </c>
      <c r="V323" t="inlineStr">
        <is>
          <t>2002-12-01</t>
        </is>
      </c>
      <c r="W323" t="inlineStr">
        <is>
          <t>1997-09-08</t>
        </is>
      </c>
      <c r="X323" t="inlineStr">
        <is>
          <t>1997-09-08</t>
        </is>
      </c>
      <c r="Y323" t="n">
        <v>631</v>
      </c>
      <c r="Z323" t="n">
        <v>597</v>
      </c>
      <c r="AA323" t="n">
        <v>647</v>
      </c>
      <c r="AB323" t="n">
        <v>5</v>
      </c>
      <c r="AC323" t="n">
        <v>6</v>
      </c>
      <c r="AD323" t="n">
        <v>18</v>
      </c>
      <c r="AE323" t="n">
        <v>21</v>
      </c>
      <c r="AF323" t="n">
        <v>6</v>
      </c>
      <c r="AG323" t="n">
        <v>7</v>
      </c>
      <c r="AH323" t="n">
        <v>2</v>
      </c>
      <c r="AI323" t="n">
        <v>4</v>
      </c>
      <c r="AJ323" t="n">
        <v>10</v>
      </c>
      <c r="AK323" t="n">
        <v>10</v>
      </c>
      <c r="AL323" t="n">
        <v>4</v>
      </c>
      <c r="AM323" t="n">
        <v>5</v>
      </c>
      <c r="AN323" t="n">
        <v>0</v>
      </c>
      <c r="AO323" t="n">
        <v>0</v>
      </c>
      <c r="AP323" t="inlineStr">
        <is>
          <t>No</t>
        </is>
      </c>
      <c r="AQ323" t="inlineStr">
        <is>
          <t>Yes</t>
        </is>
      </c>
      <c r="AR323">
        <f>HYPERLINK("http://catalog.hathitrust.org/Record/001847938","HathiTrust Record")</f>
        <v/>
      </c>
      <c r="AS323">
        <f>HYPERLINK("https://creighton-primo.hosted.exlibrisgroup.com/primo-explore/search?tab=default_tab&amp;search_scope=EVERYTHING&amp;vid=01CRU&amp;lang=en_US&amp;offset=0&amp;query=any,contains,991003179859702656","Catalog Record")</f>
        <v/>
      </c>
      <c r="AT323">
        <f>HYPERLINK("http://www.worldcat.org/oclc/711533","WorldCat Record")</f>
        <v/>
      </c>
      <c r="AU323" t="inlineStr">
        <is>
          <t>31985:eng</t>
        </is>
      </c>
      <c r="AV323" t="inlineStr">
        <is>
          <t>711533</t>
        </is>
      </c>
      <c r="AW323" t="inlineStr">
        <is>
          <t>991003179859702656</t>
        </is>
      </c>
      <c r="AX323" t="inlineStr">
        <is>
          <t>991003179859702656</t>
        </is>
      </c>
      <c r="AY323" t="inlineStr">
        <is>
          <t>2261914610002656</t>
        </is>
      </c>
      <c r="AZ323" t="inlineStr">
        <is>
          <t>BOOK</t>
        </is>
      </c>
      <c r="BC323" t="inlineStr">
        <is>
          <t>32285003167912</t>
        </is>
      </c>
      <c r="BD323" t="inlineStr">
        <is>
          <t>893530912</t>
        </is>
      </c>
    </row>
    <row r="324">
      <c r="A324" t="inlineStr">
        <is>
          <t>No</t>
        </is>
      </c>
      <c r="B324" t="inlineStr">
        <is>
          <t>PG3476.I46 C5</t>
        </is>
      </c>
      <c r="C324" t="inlineStr">
        <is>
          <t>0                      PG 3476000I  46                 C  5</t>
        </is>
      </c>
      <c r="D324" t="inlineStr">
        <is>
          <t>C͡hudo na ozere.</t>
        </is>
      </c>
      <c r="F324" t="inlineStr">
        <is>
          <t>No</t>
        </is>
      </c>
      <c r="G324" t="inlineStr">
        <is>
          <t>1</t>
        </is>
      </c>
      <c r="H324" t="inlineStr">
        <is>
          <t>No</t>
        </is>
      </c>
      <c r="I324" t="inlineStr">
        <is>
          <t>No</t>
        </is>
      </c>
      <c r="J324" t="inlineStr">
        <is>
          <t>0</t>
        </is>
      </c>
      <c r="K324" t="inlineStr">
        <is>
          <t>Osorgin, Mikhail Andreevich, 1878-1942.</t>
        </is>
      </c>
      <c r="L324" t="inlineStr">
        <is>
          <t>Paris, "Sovremennyi͡a Zapiski", 1931.</t>
        </is>
      </c>
      <c r="M324" t="inlineStr">
        <is>
          <t>1931</t>
        </is>
      </c>
      <c r="O324" t="inlineStr">
        <is>
          <t>rus</t>
        </is>
      </c>
      <c r="P324" t="inlineStr">
        <is>
          <t xml:space="preserve">fr </t>
        </is>
      </c>
      <c r="R324" t="inlineStr">
        <is>
          <t xml:space="preserve">PG </t>
        </is>
      </c>
      <c r="S324" t="n">
        <v>7</v>
      </c>
      <c r="T324" t="n">
        <v>7</v>
      </c>
      <c r="U324" t="inlineStr">
        <is>
          <t>1998-04-30</t>
        </is>
      </c>
      <c r="V324" t="inlineStr">
        <is>
          <t>1998-04-30</t>
        </is>
      </c>
      <c r="W324" t="inlineStr">
        <is>
          <t>1997-09-09</t>
        </is>
      </c>
      <c r="X324" t="inlineStr">
        <is>
          <t>1997-09-09</t>
        </is>
      </c>
      <c r="Y324" t="n">
        <v>24</v>
      </c>
      <c r="Z324" t="n">
        <v>23</v>
      </c>
      <c r="AA324" t="n">
        <v>24</v>
      </c>
      <c r="AB324" t="n">
        <v>1</v>
      </c>
      <c r="AC324" t="n">
        <v>1</v>
      </c>
      <c r="AD324" t="n">
        <v>1</v>
      </c>
      <c r="AE324" t="n">
        <v>1</v>
      </c>
      <c r="AF324" t="n">
        <v>0</v>
      </c>
      <c r="AG324" t="n">
        <v>0</v>
      </c>
      <c r="AH324" t="n">
        <v>0</v>
      </c>
      <c r="AI324" t="n">
        <v>0</v>
      </c>
      <c r="AJ324" t="n">
        <v>1</v>
      </c>
      <c r="AK324" t="n">
        <v>1</v>
      </c>
      <c r="AL324" t="n">
        <v>0</v>
      </c>
      <c r="AM324" t="n">
        <v>0</v>
      </c>
      <c r="AN324" t="n">
        <v>0</v>
      </c>
      <c r="AO324" t="n">
        <v>0</v>
      </c>
      <c r="AP324" t="inlineStr">
        <is>
          <t>No</t>
        </is>
      </c>
      <c r="AQ324" t="inlineStr">
        <is>
          <t>No</t>
        </is>
      </c>
      <c r="AS324">
        <f>HYPERLINK("https://creighton-primo.hosted.exlibrisgroup.com/primo-explore/search?tab=default_tab&amp;search_scope=EVERYTHING&amp;vid=01CRU&amp;lang=en_US&amp;offset=0&amp;query=any,contains,991005093949702656","Catalog Record")</f>
        <v/>
      </c>
      <c r="AT324">
        <f>HYPERLINK("http://www.worldcat.org/oclc/7258546","WorldCat Record")</f>
        <v/>
      </c>
      <c r="AU324" t="inlineStr">
        <is>
          <t>3902171576:rus</t>
        </is>
      </c>
      <c r="AV324" t="inlineStr">
        <is>
          <t>7258546</t>
        </is>
      </c>
      <c r="AW324" t="inlineStr">
        <is>
          <t>991005093949702656</t>
        </is>
      </c>
      <c r="AX324" t="inlineStr">
        <is>
          <t>991005093949702656</t>
        </is>
      </c>
      <c r="AY324" t="inlineStr">
        <is>
          <t>2270669250002656</t>
        </is>
      </c>
      <c r="AZ324" t="inlineStr">
        <is>
          <t>BOOK</t>
        </is>
      </c>
      <c r="BC324" t="inlineStr">
        <is>
          <t>32285003220075</t>
        </is>
      </c>
      <c r="BD324" t="inlineStr">
        <is>
          <t>893437141</t>
        </is>
      </c>
    </row>
    <row r="325">
      <c r="A325" t="inlineStr">
        <is>
          <t>No</t>
        </is>
      </c>
      <c r="B325" t="inlineStr">
        <is>
          <t>PG3476.M3 A6 1969c</t>
        </is>
      </c>
      <c r="C325" t="inlineStr">
        <is>
          <t>0                      PG 3476000M  3                  A  6           1969c</t>
        </is>
      </c>
      <c r="D325" t="inlineStr">
        <is>
          <t>Stikhotvorenii͡a : Poėmy, Pʹesy / [Vsupit. statʹi͡a A. Surkova, s. 5-24].</t>
        </is>
      </c>
      <c r="F325" t="inlineStr">
        <is>
          <t>No</t>
        </is>
      </c>
      <c r="G325" t="inlineStr">
        <is>
          <t>1</t>
        </is>
      </c>
      <c r="H325" t="inlineStr">
        <is>
          <t>No</t>
        </is>
      </c>
      <c r="I325" t="inlineStr">
        <is>
          <t>No</t>
        </is>
      </c>
      <c r="J325" t="inlineStr">
        <is>
          <t>0</t>
        </is>
      </c>
      <c r="K325" t="inlineStr">
        <is>
          <t>Mayakovsky, Vladimir, 1893-1930.</t>
        </is>
      </c>
      <c r="L325" t="inlineStr">
        <is>
          <t>Moskva, "Khudozh. lit.," 1969.</t>
        </is>
      </c>
      <c r="M325" t="inlineStr">
        <is>
          <t>1969</t>
        </is>
      </c>
      <c r="O325" t="inlineStr">
        <is>
          <t>rus</t>
        </is>
      </c>
      <c r="P325" t="inlineStr">
        <is>
          <t xml:space="preserve">ru </t>
        </is>
      </c>
      <c r="Q325" t="inlineStr">
        <is>
          <t>Biblioteka vsemirnoĭ literatury. Serii͡a tretʹi͡a, Literatura XX veka ; t. 168</t>
        </is>
      </c>
      <c r="R325" t="inlineStr">
        <is>
          <t xml:space="preserve">PG </t>
        </is>
      </c>
      <c r="S325" t="n">
        <v>2</v>
      </c>
      <c r="T325" t="n">
        <v>2</v>
      </c>
      <c r="U325" t="inlineStr">
        <is>
          <t>2000-04-27</t>
        </is>
      </c>
      <c r="V325" t="inlineStr">
        <is>
          <t>2000-04-27</t>
        </is>
      </c>
      <c r="W325" t="inlineStr">
        <is>
          <t>1997-09-08</t>
        </is>
      </c>
      <c r="X325" t="inlineStr">
        <is>
          <t>1997-09-08</t>
        </is>
      </c>
      <c r="Y325" t="n">
        <v>42</v>
      </c>
      <c r="Z325" t="n">
        <v>35</v>
      </c>
      <c r="AA325" t="n">
        <v>48</v>
      </c>
      <c r="AB325" t="n">
        <v>1</v>
      </c>
      <c r="AC325" t="n">
        <v>1</v>
      </c>
      <c r="AD325" t="n">
        <v>0</v>
      </c>
      <c r="AE325" t="n">
        <v>0</v>
      </c>
      <c r="AF325" t="n">
        <v>0</v>
      </c>
      <c r="AG325" t="n">
        <v>0</v>
      </c>
      <c r="AH325" t="n">
        <v>0</v>
      </c>
      <c r="AI325" t="n">
        <v>0</v>
      </c>
      <c r="AJ325" t="n">
        <v>0</v>
      </c>
      <c r="AK325" t="n">
        <v>0</v>
      </c>
      <c r="AL325" t="n">
        <v>0</v>
      </c>
      <c r="AM325" t="n">
        <v>0</v>
      </c>
      <c r="AN325" t="n">
        <v>0</v>
      </c>
      <c r="AO325" t="n">
        <v>0</v>
      </c>
      <c r="AP325" t="inlineStr">
        <is>
          <t>No</t>
        </is>
      </c>
      <c r="AQ325" t="inlineStr">
        <is>
          <t>Yes</t>
        </is>
      </c>
      <c r="AR325">
        <f>HYPERLINK("http://catalog.hathitrust.org/Record/006173144","HathiTrust Record")</f>
        <v/>
      </c>
      <c r="AS325">
        <f>HYPERLINK("https://creighton-primo.hosted.exlibrisgroup.com/primo-explore/search?tab=default_tab&amp;search_scope=EVERYTHING&amp;vid=01CRU&amp;lang=en_US&amp;offset=0&amp;query=any,contains,991001935579702656","Catalog Record")</f>
        <v/>
      </c>
      <c r="AT325">
        <f>HYPERLINK("http://www.worldcat.org/oclc/24447926","WorldCat Record")</f>
        <v/>
      </c>
      <c r="AU325" t="inlineStr">
        <is>
          <t>2529696227:rus</t>
        </is>
      </c>
      <c r="AV325" t="inlineStr">
        <is>
          <t>24447926</t>
        </is>
      </c>
      <c r="AW325" t="inlineStr">
        <is>
          <t>991001935579702656</t>
        </is>
      </c>
      <c r="AX325" t="inlineStr">
        <is>
          <t>991001935579702656</t>
        </is>
      </c>
      <c r="AY325" t="inlineStr">
        <is>
          <t>2265334720002656</t>
        </is>
      </c>
      <c r="AZ325" t="inlineStr">
        <is>
          <t>BOOK</t>
        </is>
      </c>
      <c r="BC325" t="inlineStr">
        <is>
          <t>32285003167938</t>
        </is>
      </c>
      <c r="BD325" t="inlineStr">
        <is>
          <t>893256650</t>
        </is>
      </c>
    </row>
    <row r="326">
      <c r="A326" t="inlineStr">
        <is>
          <t>No</t>
        </is>
      </c>
      <c r="B326" t="inlineStr">
        <is>
          <t>PG3476.M312 S5413</t>
        </is>
      </c>
      <c r="C326" t="inlineStr">
        <is>
          <t>0                      PG 3476000M  312                S  5413</t>
        </is>
      </c>
      <c r="D326" t="inlineStr">
        <is>
          <t>Mayakovsky and his circle, by Viktor Shklovsky. Edited and translated by Lily Feiler.</t>
        </is>
      </c>
      <c r="F326" t="inlineStr">
        <is>
          <t>No</t>
        </is>
      </c>
      <c r="G326" t="inlineStr">
        <is>
          <t>1</t>
        </is>
      </c>
      <c r="H326" t="inlineStr">
        <is>
          <t>No</t>
        </is>
      </c>
      <c r="I326" t="inlineStr">
        <is>
          <t>No</t>
        </is>
      </c>
      <c r="J326" t="inlineStr">
        <is>
          <t>0</t>
        </is>
      </c>
      <c r="K326" t="inlineStr">
        <is>
          <t>Shklovskiĭ, Viktor, 1893-1984.</t>
        </is>
      </c>
      <c r="L326" t="inlineStr">
        <is>
          <t>New York, Dodd, Mead [1972]</t>
        </is>
      </c>
      <c r="M326" t="inlineStr">
        <is>
          <t>1972</t>
        </is>
      </c>
      <c r="O326" t="inlineStr">
        <is>
          <t>eng</t>
        </is>
      </c>
      <c r="P326" t="inlineStr">
        <is>
          <t>nyu</t>
        </is>
      </c>
      <c r="R326" t="inlineStr">
        <is>
          <t xml:space="preserve">PG </t>
        </is>
      </c>
      <c r="S326" t="n">
        <v>3</v>
      </c>
      <c r="T326" t="n">
        <v>3</v>
      </c>
      <c r="U326" t="inlineStr">
        <is>
          <t>1998-10-21</t>
        </is>
      </c>
      <c r="V326" t="inlineStr">
        <is>
          <t>1998-10-21</t>
        </is>
      </c>
      <c r="W326" t="inlineStr">
        <is>
          <t>1997-09-09</t>
        </is>
      </c>
      <c r="X326" t="inlineStr">
        <is>
          <t>1997-09-09</t>
        </is>
      </c>
      <c r="Y326" t="n">
        <v>495</v>
      </c>
      <c r="Z326" t="n">
        <v>437</v>
      </c>
      <c r="AA326" t="n">
        <v>451</v>
      </c>
      <c r="AB326" t="n">
        <v>2</v>
      </c>
      <c r="AC326" t="n">
        <v>2</v>
      </c>
      <c r="AD326" t="n">
        <v>17</v>
      </c>
      <c r="AE326" t="n">
        <v>17</v>
      </c>
      <c r="AF326" t="n">
        <v>5</v>
      </c>
      <c r="AG326" t="n">
        <v>5</v>
      </c>
      <c r="AH326" t="n">
        <v>5</v>
      </c>
      <c r="AI326" t="n">
        <v>5</v>
      </c>
      <c r="AJ326" t="n">
        <v>10</v>
      </c>
      <c r="AK326" t="n">
        <v>10</v>
      </c>
      <c r="AL326" t="n">
        <v>1</v>
      </c>
      <c r="AM326" t="n">
        <v>1</v>
      </c>
      <c r="AN326" t="n">
        <v>0</v>
      </c>
      <c r="AO326" t="n">
        <v>0</v>
      </c>
      <c r="AP326" t="inlineStr">
        <is>
          <t>No</t>
        </is>
      </c>
      <c r="AQ326" t="inlineStr">
        <is>
          <t>Yes</t>
        </is>
      </c>
      <c r="AR326">
        <f>HYPERLINK("http://catalog.hathitrust.org/Record/000007890","HathiTrust Record")</f>
        <v/>
      </c>
      <c r="AS326">
        <f>HYPERLINK("https://creighton-primo.hosted.exlibrisgroup.com/primo-explore/search?tab=default_tab&amp;search_scope=EVERYTHING&amp;vid=01CRU&amp;lang=en_US&amp;offset=0&amp;query=any,contains,991003019099702656","Catalog Record")</f>
        <v/>
      </c>
      <c r="AT326">
        <f>HYPERLINK("http://www.worldcat.org/oclc/583920","WorldCat Record")</f>
        <v/>
      </c>
      <c r="AU326" t="inlineStr">
        <is>
          <t>144638781:eng</t>
        </is>
      </c>
      <c r="AV326" t="inlineStr">
        <is>
          <t>583920</t>
        </is>
      </c>
      <c r="AW326" t="inlineStr">
        <is>
          <t>991003019099702656</t>
        </is>
      </c>
      <c r="AX326" t="inlineStr">
        <is>
          <t>991003019099702656</t>
        </is>
      </c>
      <c r="AY326" t="inlineStr">
        <is>
          <t>2272270080002656</t>
        </is>
      </c>
      <c r="AZ326" t="inlineStr">
        <is>
          <t>BOOK</t>
        </is>
      </c>
      <c r="BB326" t="inlineStr">
        <is>
          <t>9780396067016</t>
        </is>
      </c>
      <c r="BC326" t="inlineStr">
        <is>
          <t>32285003220141</t>
        </is>
      </c>
      <c r="BD326" t="inlineStr">
        <is>
          <t>893592098</t>
        </is>
      </c>
    </row>
    <row r="327">
      <c r="A327" t="inlineStr">
        <is>
          <t>No</t>
        </is>
      </c>
      <c r="B327" t="inlineStr">
        <is>
          <t>PG3476.M355 A246 1987</t>
        </is>
      </c>
      <c r="C327" t="inlineStr">
        <is>
          <t>0                      PG 3476000M  355                A  246         1987</t>
        </is>
      </c>
      <c r="D327" t="inlineStr">
        <is>
          <t>Tristia / Osip Mandelstam ; translated by Bruce McClelland.</t>
        </is>
      </c>
      <c r="F327" t="inlineStr">
        <is>
          <t>No</t>
        </is>
      </c>
      <c r="G327" t="inlineStr">
        <is>
          <t>1</t>
        </is>
      </c>
      <c r="H327" t="inlineStr">
        <is>
          <t>No</t>
        </is>
      </c>
      <c r="I327" t="inlineStr">
        <is>
          <t>No</t>
        </is>
      </c>
      <c r="J327" t="inlineStr">
        <is>
          <t>0</t>
        </is>
      </c>
      <c r="K327" t="inlineStr">
        <is>
          <t>Mandelʹshtam, Osip, 1891-1938.</t>
        </is>
      </c>
      <c r="L327" t="inlineStr">
        <is>
          <t>Barrytown, NY : Station Hill ; New York, NY : Distributed by Talman, 1987.</t>
        </is>
      </c>
      <c r="M327" t="inlineStr">
        <is>
          <t>1987</t>
        </is>
      </c>
      <c r="O327" t="inlineStr">
        <is>
          <t>eng</t>
        </is>
      </c>
      <c r="P327" t="inlineStr">
        <is>
          <t>nyu</t>
        </is>
      </c>
      <c r="R327" t="inlineStr">
        <is>
          <t xml:space="preserve">PG </t>
        </is>
      </c>
      <c r="S327" t="n">
        <v>2</v>
      </c>
      <c r="T327" t="n">
        <v>2</v>
      </c>
      <c r="U327" t="inlineStr">
        <is>
          <t>1994-02-14</t>
        </is>
      </c>
      <c r="V327" t="inlineStr">
        <is>
          <t>1994-02-14</t>
        </is>
      </c>
      <c r="W327" t="inlineStr">
        <is>
          <t>1993-04-28</t>
        </is>
      </c>
      <c r="X327" t="inlineStr">
        <is>
          <t>1993-04-28</t>
        </is>
      </c>
      <c r="Y327" t="n">
        <v>391</v>
      </c>
      <c r="Z327" t="n">
        <v>364</v>
      </c>
      <c r="AA327" t="n">
        <v>391</v>
      </c>
      <c r="AB327" t="n">
        <v>3</v>
      </c>
      <c r="AC327" t="n">
        <v>3</v>
      </c>
      <c r="AD327" t="n">
        <v>11</v>
      </c>
      <c r="AE327" t="n">
        <v>13</v>
      </c>
      <c r="AF327" t="n">
        <v>1</v>
      </c>
      <c r="AG327" t="n">
        <v>2</v>
      </c>
      <c r="AH327" t="n">
        <v>5</v>
      </c>
      <c r="AI327" t="n">
        <v>5</v>
      </c>
      <c r="AJ327" t="n">
        <v>6</v>
      </c>
      <c r="AK327" t="n">
        <v>7</v>
      </c>
      <c r="AL327" t="n">
        <v>1</v>
      </c>
      <c r="AM327" t="n">
        <v>1</v>
      </c>
      <c r="AN327" t="n">
        <v>0</v>
      </c>
      <c r="AO327" t="n">
        <v>0</v>
      </c>
      <c r="AP327" t="inlineStr">
        <is>
          <t>No</t>
        </is>
      </c>
      <c r="AQ327" t="inlineStr">
        <is>
          <t>Yes</t>
        </is>
      </c>
      <c r="AR327">
        <f>HYPERLINK("http://catalog.hathitrust.org/Record/000857168","HathiTrust Record")</f>
        <v/>
      </c>
      <c r="AS327">
        <f>HYPERLINK("https://creighton-primo.hosted.exlibrisgroup.com/primo-explore/search?tab=default_tab&amp;search_scope=EVERYTHING&amp;vid=01CRU&amp;lang=en_US&amp;offset=0&amp;query=any,contains,991000992079702656","Catalog Record")</f>
        <v/>
      </c>
      <c r="AT327">
        <f>HYPERLINK("http://www.worldcat.org/oclc/15108722","WorldCat Record")</f>
        <v/>
      </c>
      <c r="AU327" t="inlineStr">
        <is>
          <t>3943327016:eng</t>
        </is>
      </c>
      <c r="AV327" t="inlineStr">
        <is>
          <t>15108722</t>
        </is>
      </c>
      <c r="AW327" t="inlineStr">
        <is>
          <t>991000992079702656</t>
        </is>
      </c>
      <c r="AX327" t="inlineStr">
        <is>
          <t>991000992079702656</t>
        </is>
      </c>
      <c r="AY327" t="inlineStr">
        <is>
          <t>2267467600002656</t>
        </is>
      </c>
      <c r="AZ327" t="inlineStr">
        <is>
          <t>BOOK</t>
        </is>
      </c>
      <c r="BB327" t="inlineStr">
        <is>
          <t>9780882680415</t>
        </is>
      </c>
      <c r="BC327" t="inlineStr">
        <is>
          <t>32285001649598</t>
        </is>
      </c>
      <c r="BD327" t="inlineStr">
        <is>
          <t>893249870</t>
        </is>
      </c>
    </row>
    <row r="328">
      <c r="A328" t="inlineStr">
        <is>
          <t>No</t>
        </is>
      </c>
      <c r="B328" t="inlineStr">
        <is>
          <t>PG3476.M355 A27</t>
        </is>
      </c>
      <c r="C328" t="inlineStr">
        <is>
          <t>0                      PG 3476000M  355                A  27</t>
        </is>
      </c>
      <c r="D328" t="inlineStr">
        <is>
          <t>Complete poetry of Osip Emilevich Mandelstam. Translated by Burton Raffel and Alla Burago. With an introd. and notes by Sidney Monas.</t>
        </is>
      </c>
      <c r="F328" t="inlineStr">
        <is>
          <t>No</t>
        </is>
      </c>
      <c r="G328" t="inlineStr">
        <is>
          <t>1</t>
        </is>
      </c>
      <c r="H328" t="inlineStr">
        <is>
          <t>No</t>
        </is>
      </c>
      <c r="I328" t="inlineStr">
        <is>
          <t>No</t>
        </is>
      </c>
      <c r="J328" t="inlineStr">
        <is>
          <t>0</t>
        </is>
      </c>
      <c r="K328" t="inlineStr">
        <is>
          <t>Mandelʹshtam, Osip, 1891-1938.</t>
        </is>
      </c>
      <c r="L328" t="inlineStr">
        <is>
          <t>Albany, State University of New York Press, 1973.</t>
        </is>
      </c>
      <c r="M328" t="inlineStr">
        <is>
          <t>1973</t>
        </is>
      </c>
      <c r="N328" t="inlineStr">
        <is>
          <t>[1st ed.]</t>
        </is>
      </c>
      <c r="O328" t="inlineStr">
        <is>
          <t>eng</t>
        </is>
      </c>
      <c r="P328" t="inlineStr">
        <is>
          <t>nyu</t>
        </is>
      </c>
      <c r="Q328" t="inlineStr">
        <is>
          <t>Russian literature in translation ; 2</t>
        </is>
      </c>
      <c r="R328" t="inlineStr">
        <is>
          <t xml:space="preserve">PG </t>
        </is>
      </c>
      <c r="S328" t="n">
        <v>3</v>
      </c>
      <c r="T328" t="n">
        <v>3</v>
      </c>
      <c r="U328" t="inlineStr">
        <is>
          <t>2000-11-02</t>
        </is>
      </c>
      <c r="V328" t="inlineStr">
        <is>
          <t>2000-11-02</t>
        </is>
      </c>
      <c r="W328" t="inlineStr">
        <is>
          <t>1997-09-09</t>
        </is>
      </c>
      <c r="X328" t="inlineStr">
        <is>
          <t>1997-09-09</t>
        </is>
      </c>
      <c r="Y328" t="n">
        <v>583</v>
      </c>
      <c r="Z328" t="n">
        <v>521</v>
      </c>
      <c r="AA328" t="n">
        <v>525</v>
      </c>
      <c r="AB328" t="n">
        <v>3</v>
      </c>
      <c r="AC328" t="n">
        <v>3</v>
      </c>
      <c r="AD328" t="n">
        <v>22</v>
      </c>
      <c r="AE328" t="n">
        <v>22</v>
      </c>
      <c r="AF328" t="n">
        <v>8</v>
      </c>
      <c r="AG328" t="n">
        <v>8</v>
      </c>
      <c r="AH328" t="n">
        <v>6</v>
      </c>
      <c r="AI328" t="n">
        <v>6</v>
      </c>
      <c r="AJ328" t="n">
        <v>11</v>
      </c>
      <c r="AK328" t="n">
        <v>11</v>
      </c>
      <c r="AL328" t="n">
        <v>2</v>
      </c>
      <c r="AM328" t="n">
        <v>2</v>
      </c>
      <c r="AN328" t="n">
        <v>0</v>
      </c>
      <c r="AO328" t="n">
        <v>0</v>
      </c>
      <c r="AP328" t="inlineStr">
        <is>
          <t>No</t>
        </is>
      </c>
      <c r="AQ328" t="inlineStr">
        <is>
          <t>Yes</t>
        </is>
      </c>
      <c r="AR328">
        <f>HYPERLINK("http://catalog.hathitrust.org/Record/001110443","HathiTrust Record")</f>
        <v/>
      </c>
      <c r="AS328">
        <f>HYPERLINK("https://creighton-primo.hosted.exlibrisgroup.com/primo-explore/search?tab=default_tab&amp;search_scope=EVERYTHING&amp;vid=01CRU&amp;lang=en_US&amp;offset=0&amp;query=any,contains,991003045509702656","Catalog Record")</f>
        <v/>
      </c>
      <c r="AT328">
        <f>HYPERLINK("http://www.worldcat.org/oclc/606210","WorldCat Record")</f>
        <v/>
      </c>
      <c r="AU328" t="inlineStr">
        <is>
          <t>197211639:eng</t>
        </is>
      </c>
      <c r="AV328" t="inlineStr">
        <is>
          <t>606210</t>
        </is>
      </c>
      <c r="AW328" t="inlineStr">
        <is>
          <t>991003045509702656</t>
        </is>
      </c>
      <c r="AX328" t="inlineStr">
        <is>
          <t>991003045509702656</t>
        </is>
      </c>
      <c r="AY328" t="inlineStr">
        <is>
          <t>2263959410002656</t>
        </is>
      </c>
      <c r="AZ328" t="inlineStr">
        <is>
          <t>BOOK</t>
        </is>
      </c>
      <c r="BB328" t="inlineStr">
        <is>
          <t>9780873952101</t>
        </is>
      </c>
      <c r="BC328" t="inlineStr">
        <is>
          <t>32285003220174</t>
        </is>
      </c>
      <c r="BD328" t="inlineStr">
        <is>
          <t>893893325</t>
        </is>
      </c>
    </row>
    <row r="329">
      <c r="A329" t="inlineStr">
        <is>
          <t>No</t>
        </is>
      </c>
      <c r="B329" t="inlineStr">
        <is>
          <t>PG3476.M355 Z6</t>
        </is>
      </c>
      <c r="C329" t="inlineStr">
        <is>
          <t>0                      PG 3476000M  355                Z  6</t>
        </is>
      </c>
      <c r="D329" t="inlineStr">
        <is>
          <t>Osip Emilievich Mandelstam : an essay in antiphon / by Arthur A. Cohen.</t>
        </is>
      </c>
      <c r="F329" t="inlineStr">
        <is>
          <t>No</t>
        </is>
      </c>
      <c r="G329" t="inlineStr">
        <is>
          <t>1</t>
        </is>
      </c>
      <c r="H329" t="inlineStr">
        <is>
          <t>No</t>
        </is>
      </c>
      <c r="I329" t="inlineStr">
        <is>
          <t>No</t>
        </is>
      </c>
      <c r="J329" t="inlineStr">
        <is>
          <t>0</t>
        </is>
      </c>
      <c r="K329" t="inlineStr">
        <is>
          <t>Cohen, Arthur A. (Arthur Allen), 1928-1986.</t>
        </is>
      </c>
      <c r="L329" t="inlineStr">
        <is>
          <t>Ann Arbor [Mich.] : Ardis, [1974]</t>
        </is>
      </c>
      <c r="M329" t="inlineStr">
        <is>
          <t>1974</t>
        </is>
      </c>
      <c r="O329" t="inlineStr">
        <is>
          <t>eng</t>
        </is>
      </c>
      <c r="P329" t="inlineStr">
        <is>
          <t>miu</t>
        </is>
      </c>
      <c r="Q329" t="inlineStr">
        <is>
          <t>Ardis essay series ; no. 2</t>
        </is>
      </c>
      <c r="R329" t="inlineStr">
        <is>
          <t xml:space="preserve">PG </t>
        </is>
      </c>
      <c r="S329" t="n">
        <v>2</v>
      </c>
      <c r="T329" t="n">
        <v>2</v>
      </c>
      <c r="U329" t="inlineStr">
        <is>
          <t>1998-10-07</t>
        </is>
      </c>
      <c r="V329" t="inlineStr">
        <is>
          <t>1998-10-07</t>
        </is>
      </c>
      <c r="W329" t="inlineStr">
        <is>
          <t>1997-09-09</t>
        </is>
      </c>
      <c r="X329" t="inlineStr">
        <is>
          <t>1997-09-09</t>
        </is>
      </c>
      <c r="Y329" t="n">
        <v>295</v>
      </c>
      <c r="Z329" t="n">
        <v>232</v>
      </c>
      <c r="AA329" t="n">
        <v>238</v>
      </c>
      <c r="AB329" t="n">
        <v>2</v>
      </c>
      <c r="AC329" t="n">
        <v>2</v>
      </c>
      <c r="AD329" t="n">
        <v>7</v>
      </c>
      <c r="AE329" t="n">
        <v>7</v>
      </c>
      <c r="AF329" t="n">
        <v>3</v>
      </c>
      <c r="AG329" t="n">
        <v>3</v>
      </c>
      <c r="AH329" t="n">
        <v>2</v>
      </c>
      <c r="AI329" t="n">
        <v>2</v>
      </c>
      <c r="AJ329" t="n">
        <v>4</v>
      </c>
      <c r="AK329" t="n">
        <v>4</v>
      </c>
      <c r="AL329" t="n">
        <v>1</v>
      </c>
      <c r="AM329" t="n">
        <v>1</v>
      </c>
      <c r="AN329" t="n">
        <v>0</v>
      </c>
      <c r="AO329" t="n">
        <v>0</v>
      </c>
      <c r="AP329" t="inlineStr">
        <is>
          <t>No</t>
        </is>
      </c>
      <c r="AQ329" t="inlineStr">
        <is>
          <t>Yes</t>
        </is>
      </c>
      <c r="AR329">
        <f>HYPERLINK("http://catalog.hathitrust.org/Record/001059955","HathiTrust Record")</f>
        <v/>
      </c>
      <c r="AS329">
        <f>HYPERLINK("https://creighton-primo.hosted.exlibrisgroup.com/primo-explore/search?tab=default_tab&amp;search_scope=EVERYTHING&amp;vid=01CRU&amp;lang=en_US&amp;offset=0&amp;query=any,contains,991003560599702656","Catalog Record")</f>
        <v/>
      </c>
      <c r="AT329">
        <f>HYPERLINK("http://www.worldcat.org/oclc/1130358","WorldCat Record")</f>
        <v/>
      </c>
      <c r="AU329" t="inlineStr">
        <is>
          <t>2044460:eng</t>
        </is>
      </c>
      <c r="AV329" t="inlineStr">
        <is>
          <t>1130358</t>
        </is>
      </c>
      <c r="AW329" t="inlineStr">
        <is>
          <t>991003560599702656</t>
        </is>
      </c>
      <c r="AX329" t="inlineStr">
        <is>
          <t>991003560599702656</t>
        </is>
      </c>
      <c r="AY329" t="inlineStr">
        <is>
          <t>2265607290002656</t>
        </is>
      </c>
      <c r="AZ329" t="inlineStr">
        <is>
          <t>BOOK</t>
        </is>
      </c>
      <c r="BB329" t="inlineStr">
        <is>
          <t>9780882330754</t>
        </is>
      </c>
      <c r="BC329" t="inlineStr">
        <is>
          <t>32285003220182</t>
        </is>
      </c>
      <c r="BD329" t="inlineStr">
        <is>
          <t>893881298</t>
        </is>
      </c>
    </row>
    <row r="330">
      <c r="A330" t="inlineStr">
        <is>
          <t>No</t>
        </is>
      </c>
      <c r="B330" t="inlineStr">
        <is>
          <t>PG3476.M355 Z813 1976</t>
        </is>
      </c>
      <c r="C330" t="inlineStr">
        <is>
          <t>0                      PG 3476000M  355                Z  813         1976</t>
        </is>
      </c>
      <c r="D330" t="inlineStr">
        <is>
          <t>Hope against hope : a memoir / Nadezhda Mandelstam ; translated from the Russian by Max Hayward ; with an introduction by Clarence Brown.</t>
        </is>
      </c>
      <c r="F330" t="inlineStr">
        <is>
          <t>No</t>
        </is>
      </c>
      <c r="G330" t="inlineStr">
        <is>
          <t>1</t>
        </is>
      </c>
      <c r="H330" t="inlineStr">
        <is>
          <t>No</t>
        </is>
      </c>
      <c r="I330" t="inlineStr">
        <is>
          <t>No</t>
        </is>
      </c>
      <c r="J330" t="inlineStr">
        <is>
          <t>0</t>
        </is>
      </c>
      <c r="K330" t="inlineStr">
        <is>
          <t>Mandelʹshtam, Nadezhda, 1899-1980.</t>
        </is>
      </c>
      <c r="L330" t="inlineStr">
        <is>
          <t>New York : Atheneum, 1976, c1970</t>
        </is>
      </c>
      <c r="M330" t="inlineStr">
        <is>
          <t>1976</t>
        </is>
      </c>
      <c r="N330" t="inlineStr">
        <is>
          <t>College ed.</t>
        </is>
      </c>
      <c r="O330" t="inlineStr">
        <is>
          <t>eng</t>
        </is>
      </c>
      <c r="P330" t="inlineStr">
        <is>
          <t>nyu</t>
        </is>
      </c>
      <c r="Q330" t="inlineStr">
        <is>
          <t>Atheneum ; 218</t>
        </is>
      </c>
      <c r="R330" t="inlineStr">
        <is>
          <t xml:space="preserve">PG </t>
        </is>
      </c>
      <c r="S330" t="n">
        <v>1</v>
      </c>
      <c r="T330" t="n">
        <v>1</v>
      </c>
      <c r="U330" t="inlineStr">
        <is>
          <t>2008-03-26</t>
        </is>
      </c>
      <c r="V330" t="inlineStr">
        <is>
          <t>2008-03-26</t>
        </is>
      </c>
      <c r="W330" t="inlineStr">
        <is>
          <t>2008-03-26</t>
        </is>
      </c>
      <c r="X330" t="inlineStr">
        <is>
          <t>2008-03-26</t>
        </is>
      </c>
      <c r="Y330" t="n">
        <v>72</v>
      </c>
      <c r="Z330" t="n">
        <v>67</v>
      </c>
      <c r="AA330" t="n">
        <v>1284</v>
      </c>
      <c r="AB330" t="n">
        <v>1</v>
      </c>
      <c r="AC330" t="n">
        <v>12</v>
      </c>
      <c r="AD330" t="n">
        <v>2</v>
      </c>
      <c r="AE330" t="n">
        <v>49</v>
      </c>
      <c r="AF330" t="n">
        <v>1</v>
      </c>
      <c r="AG330" t="n">
        <v>19</v>
      </c>
      <c r="AH330" t="n">
        <v>1</v>
      </c>
      <c r="AI330" t="n">
        <v>9</v>
      </c>
      <c r="AJ330" t="n">
        <v>1</v>
      </c>
      <c r="AK330" t="n">
        <v>24</v>
      </c>
      <c r="AL330" t="n">
        <v>0</v>
      </c>
      <c r="AM330" t="n">
        <v>10</v>
      </c>
      <c r="AN330" t="n">
        <v>0</v>
      </c>
      <c r="AO330" t="n">
        <v>0</v>
      </c>
      <c r="AP330" t="inlineStr">
        <is>
          <t>No</t>
        </is>
      </c>
      <c r="AQ330" t="inlineStr">
        <is>
          <t>No</t>
        </is>
      </c>
      <c r="AS330">
        <f>HYPERLINK("https://creighton-primo.hosted.exlibrisgroup.com/primo-explore/search?tab=default_tab&amp;search_scope=EVERYTHING&amp;vid=01CRU&amp;lang=en_US&amp;offset=0&amp;query=any,contains,991005197829702656","Catalog Record")</f>
        <v/>
      </c>
      <c r="AT330">
        <f>HYPERLINK("http://www.worldcat.org/oclc/11868738","WorldCat Record")</f>
        <v/>
      </c>
      <c r="AU330" t="inlineStr">
        <is>
          <t>2863396968:eng</t>
        </is>
      </c>
      <c r="AV330" t="inlineStr">
        <is>
          <t>11868738</t>
        </is>
      </c>
      <c r="AW330" t="inlineStr">
        <is>
          <t>991005197829702656</t>
        </is>
      </c>
      <c r="AX330" t="inlineStr">
        <is>
          <t>991005197829702656</t>
        </is>
      </c>
      <c r="AY330" t="inlineStr">
        <is>
          <t>2265615200002656</t>
        </is>
      </c>
      <c r="AZ330" t="inlineStr">
        <is>
          <t>BOOK</t>
        </is>
      </c>
      <c r="BB330" t="inlineStr">
        <is>
          <t>9780689705304</t>
        </is>
      </c>
      <c r="BC330" t="inlineStr">
        <is>
          <t>32285005398804</t>
        </is>
      </c>
      <c r="BD330" t="inlineStr">
        <is>
          <t>893320221</t>
        </is>
      </c>
    </row>
    <row r="331">
      <c r="A331" t="inlineStr">
        <is>
          <t>No</t>
        </is>
      </c>
      <c r="B331" t="inlineStr">
        <is>
          <t>PG3476.M37258 A28</t>
        </is>
      </c>
      <c r="C331" t="inlineStr">
        <is>
          <t>0                      PG 3476000M  37258              A  28</t>
        </is>
      </c>
      <c r="D331" t="inlineStr">
        <is>
          <t>A book of poems / Leonid Martynov ; [translated from the Russian by Peter Tempest].</t>
        </is>
      </c>
      <c r="F331" t="inlineStr">
        <is>
          <t>No</t>
        </is>
      </c>
      <c r="G331" t="inlineStr">
        <is>
          <t>1</t>
        </is>
      </c>
      <c r="H331" t="inlineStr">
        <is>
          <t>No</t>
        </is>
      </c>
      <c r="I331" t="inlineStr">
        <is>
          <t>No</t>
        </is>
      </c>
      <c r="J331" t="inlineStr">
        <is>
          <t>0</t>
        </is>
      </c>
      <c r="K331" t="inlineStr">
        <is>
          <t>Martynov, Leonid, 1905-1980.</t>
        </is>
      </c>
      <c r="L331" t="inlineStr">
        <is>
          <t>[Moscow : Progress Publishers], c1979.</t>
        </is>
      </c>
      <c r="M331" t="inlineStr">
        <is>
          <t>1979</t>
        </is>
      </c>
      <c r="O331" t="inlineStr">
        <is>
          <t>eng</t>
        </is>
      </c>
      <c r="P331" t="inlineStr">
        <is>
          <t>rur</t>
        </is>
      </c>
      <c r="Q331" t="inlineStr">
        <is>
          <t>Soviet poetry library</t>
        </is>
      </c>
      <c r="R331" t="inlineStr">
        <is>
          <t xml:space="preserve">PG </t>
        </is>
      </c>
      <c r="S331" t="n">
        <v>2</v>
      </c>
      <c r="T331" t="n">
        <v>2</v>
      </c>
      <c r="U331" t="inlineStr">
        <is>
          <t>1996-03-27</t>
        </is>
      </c>
      <c r="V331" t="inlineStr">
        <is>
          <t>1996-03-27</t>
        </is>
      </c>
      <c r="W331" t="inlineStr">
        <is>
          <t>1993-04-28</t>
        </is>
      </c>
      <c r="X331" t="inlineStr">
        <is>
          <t>1993-04-28</t>
        </is>
      </c>
      <c r="Y331" t="n">
        <v>61</v>
      </c>
      <c r="Z331" t="n">
        <v>42</v>
      </c>
      <c r="AA331" t="n">
        <v>43</v>
      </c>
      <c r="AB331" t="n">
        <v>1</v>
      </c>
      <c r="AC331" t="n">
        <v>1</v>
      </c>
      <c r="AD331" t="n">
        <v>1</v>
      </c>
      <c r="AE331" t="n">
        <v>1</v>
      </c>
      <c r="AF331" t="n">
        <v>1</v>
      </c>
      <c r="AG331" t="n">
        <v>1</v>
      </c>
      <c r="AH331" t="n">
        <v>0</v>
      </c>
      <c r="AI331" t="n">
        <v>0</v>
      </c>
      <c r="AJ331" t="n">
        <v>1</v>
      </c>
      <c r="AK331" t="n">
        <v>1</v>
      </c>
      <c r="AL331" t="n">
        <v>0</v>
      </c>
      <c r="AM331" t="n">
        <v>0</v>
      </c>
      <c r="AN331" t="n">
        <v>0</v>
      </c>
      <c r="AO331" t="n">
        <v>0</v>
      </c>
      <c r="AP331" t="inlineStr">
        <is>
          <t>No</t>
        </is>
      </c>
      <c r="AQ331" t="inlineStr">
        <is>
          <t>No</t>
        </is>
      </c>
      <c r="AS331">
        <f>HYPERLINK("https://creighton-primo.hosted.exlibrisgroup.com/primo-explore/search?tab=default_tab&amp;search_scope=EVERYTHING&amp;vid=01CRU&amp;lang=en_US&amp;offset=0&amp;query=any,contains,991004946839702656","Catalog Record")</f>
        <v/>
      </c>
      <c r="AT331">
        <f>HYPERLINK("http://www.worldcat.org/oclc/6221829","WorldCat Record")</f>
        <v/>
      </c>
      <c r="AU331" t="inlineStr">
        <is>
          <t>21427421:eng</t>
        </is>
      </c>
      <c r="AV331" t="inlineStr">
        <is>
          <t>6221829</t>
        </is>
      </c>
      <c r="AW331" t="inlineStr">
        <is>
          <t>991004946839702656</t>
        </is>
      </c>
      <c r="AX331" t="inlineStr">
        <is>
          <t>991004946839702656</t>
        </is>
      </c>
      <c r="AY331" t="inlineStr">
        <is>
          <t>2266717240002656</t>
        </is>
      </c>
      <c r="AZ331" t="inlineStr">
        <is>
          <t>BOOK</t>
        </is>
      </c>
      <c r="BC331" t="inlineStr">
        <is>
          <t>32285001649606</t>
        </is>
      </c>
      <c r="BD331" t="inlineStr">
        <is>
          <t>893436945</t>
        </is>
      </c>
    </row>
    <row r="332">
      <c r="A332" t="inlineStr">
        <is>
          <t>No</t>
        </is>
      </c>
      <c r="B332" t="inlineStr">
        <is>
          <t>PG3476.N3 B4 1964</t>
        </is>
      </c>
      <c r="C332" t="inlineStr">
        <is>
          <t>0                      PG 3476000N  3                  B  4           1964</t>
        </is>
      </c>
      <c r="D332" t="inlineStr">
        <is>
          <t>Bend sinister; with a new introduction by the author.</t>
        </is>
      </c>
      <c r="F332" t="inlineStr">
        <is>
          <t>No</t>
        </is>
      </c>
      <c r="G332" t="inlineStr">
        <is>
          <t>1</t>
        </is>
      </c>
      <c r="H332" t="inlineStr">
        <is>
          <t>No</t>
        </is>
      </c>
      <c r="I332" t="inlineStr">
        <is>
          <t>No</t>
        </is>
      </c>
      <c r="J332" t="inlineStr">
        <is>
          <t>0</t>
        </is>
      </c>
      <c r="K332" t="inlineStr">
        <is>
          <t>Nabokov, Vladimir Vladimirovich, 1899-1977.</t>
        </is>
      </c>
      <c r="L332" t="inlineStr">
        <is>
          <t>New York, Time, Inc. [1964, c1947]</t>
        </is>
      </c>
      <c r="M332" t="inlineStr">
        <is>
          <t>1964</t>
        </is>
      </c>
      <c r="O332" t="inlineStr">
        <is>
          <t>eng</t>
        </is>
      </c>
      <c r="P332" t="inlineStr">
        <is>
          <t xml:space="preserve">xx </t>
        </is>
      </c>
      <c r="Q332" t="inlineStr">
        <is>
          <t>Time reading program</t>
        </is>
      </c>
      <c r="R332" t="inlineStr">
        <is>
          <t xml:space="preserve">PG </t>
        </is>
      </c>
      <c r="S332" t="n">
        <v>16</v>
      </c>
      <c r="T332" t="n">
        <v>16</v>
      </c>
      <c r="U332" t="inlineStr">
        <is>
          <t>2009-03-28</t>
        </is>
      </c>
      <c r="V332" t="inlineStr">
        <is>
          <t>2009-03-28</t>
        </is>
      </c>
      <c r="W332" t="inlineStr">
        <is>
          <t>1997-09-09</t>
        </is>
      </c>
      <c r="X332" t="inlineStr">
        <is>
          <t>1997-09-09</t>
        </is>
      </c>
      <c r="Y332" t="n">
        <v>499</v>
      </c>
      <c r="Z332" t="n">
        <v>489</v>
      </c>
      <c r="AA332" t="n">
        <v>1452</v>
      </c>
      <c r="AB332" t="n">
        <v>7</v>
      </c>
      <c r="AC332" t="n">
        <v>16</v>
      </c>
      <c r="AD332" t="n">
        <v>24</v>
      </c>
      <c r="AE332" t="n">
        <v>46</v>
      </c>
      <c r="AF332" t="n">
        <v>11</v>
      </c>
      <c r="AG332" t="n">
        <v>18</v>
      </c>
      <c r="AH332" t="n">
        <v>7</v>
      </c>
      <c r="AI332" t="n">
        <v>9</v>
      </c>
      <c r="AJ332" t="n">
        <v>10</v>
      </c>
      <c r="AK332" t="n">
        <v>22</v>
      </c>
      <c r="AL332" t="n">
        <v>3</v>
      </c>
      <c r="AM332" t="n">
        <v>10</v>
      </c>
      <c r="AN332" t="n">
        <v>0</v>
      </c>
      <c r="AO332" t="n">
        <v>0</v>
      </c>
      <c r="AP332" t="inlineStr">
        <is>
          <t>No</t>
        </is>
      </c>
      <c r="AQ332" t="inlineStr">
        <is>
          <t>Yes</t>
        </is>
      </c>
      <c r="AR332">
        <f>HYPERLINK("http://catalog.hathitrust.org/Record/003542134","HathiTrust Record")</f>
        <v/>
      </c>
      <c r="AS332">
        <f>HYPERLINK("https://creighton-primo.hosted.exlibrisgroup.com/primo-explore/search?tab=default_tab&amp;search_scope=EVERYTHING&amp;vid=01CRU&amp;lang=en_US&amp;offset=0&amp;query=any,contains,991003659759702656","Catalog Record")</f>
        <v/>
      </c>
      <c r="AT332">
        <f>HYPERLINK("http://www.worldcat.org/oclc/1266867","WorldCat Record")</f>
        <v/>
      </c>
      <c r="AU332" t="inlineStr">
        <is>
          <t>1322777:eng</t>
        </is>
      </c>
      <c r="AV332" t="inlineStr">
        <is>
          <t>1266867</t>
        </is>
      </c>
      <c r="AW332" t="inlineStr">
        <is>
          <t>991003659759702656</t>
        </is>
      </c>
      <c r="AX332" t="inlineStr">
        <is>
          <t>991003659759702656</t>
        </is>
      </c>
      <c r="AY332" t="inlineStr">
        <is>
          <t>2261132730002656</t>
        </is>
      </c>
      <c r="AZ332" t="inlineStr">
        <is>
          <t>BOOK</t>
        </is>
      </c>
      <c r="BC332" t="inlineStr">
        <is>
          <t>32285003220190</t>
        </is>
      </c>
      <c r="BD332" t="inlineStr">
        <is>
          <t>893336766</t>
        </is>
      </c>
    </row>
    <row r="333">
      <c r="A333" t="inlineStr">
        <is>
          <t>No</t>
        </is>
      </c>
      <c r="B333" t="inlineStr">
        <is>
          <t>PG3476.N3 I5 1965</t>
        </is>
      </c>
      <c r="C333" t="inlineStr">
        <is>
          <t>0                      PG 3476000N  3                  I  5           1965</t>
        </is>
      </c>
      <c r="D333" t="inlineStr">
        <is>
          <t>Invitation to a beheading. Translated by Dmitri Nabokov in collaboration with the author.</t>
        </is>
      </c>
      <c r="F333" t="inlineStr">
        <is>
          <t>No</t>
        </is>
      </c>
      <c r="G333" t="inlineStr">
        <is>
          <t>1</t>
        </is>
      </c>
      <c r="H333" t="inlineStr">
        <is>
          <t>No</t>
        </is>
      </c>
      <c r="I333" t="inlineStr">
        <is>
          <t>No</t>
        </is>
      </c>
      <c r="J333" t="inlineStr">
        <is>
          <t>0</t>
        </is>
      </c>
      <c r="K333" t="inlineStr">
        <is>
          <t>Nabokov, Vladimir Vladimirovich, 1899-1977.</t>
        </is>
      </c>
      <c r="L333" t="inlineStr">
        <is>
          <t>New York Capricorn Books [1965]</t>
        </is>
      </c>
      <c r="M333" t="inlineStr">
        <is>
          <t>1965</t>
        </is>
      </c>
      <c r="O333" t="inlineStr">
        <is>
          <t>eng</t>
        </is>
      </c>
      <c r="P333" t="inlineStr">
        <is>
          <t>nyu</t>
        </is>
      </c>
      <c r="R333" t="inlineStr">
        <is>
          <t xml:space="preserve">PG </t>
        </is>
      </c>
      <c r="S333" t="n">
        <v>12</v>
      </c>
      <c r="T333" t="n">
        <v>12</v>
      </c>
      <c r="U333" t="inlineStr">
        <is>
          <t>2009-03-28</t>
        </is>
      </c>
      <c r="V333" t="inlineStr">
        <is>
          <t>2009-03-28</t>
        </is>
      </c>
      <c r="W333" t="inlineStr">
        <is>
          <t>1997-09-09</t>
        </is>
      </c>
      <c r="X333" t="inlineStr">
        <is>
          <t>1997-09-09</t>
        </is>
      </c>
      <c r="Y333" t="n">
        <v>264</v>
      </c>
      <c r="Z333" t="n">
        <v>239</v>
      </c>
      <c r="AA333" t="n">
        <v>1320</v>
      </c>
      <c r="AB333" t="n">
        <v>4</v>
      </c>
      <c r="AC333" t="n">
        <v>5</v>
      </c>
      <c r="AD333" t="n">
        <v>14</v>
      </c>
      <c r="AE333" t="n">
        <v>42</v>
      </c>
      <c r="AF333" t="n">
        <v>5</v>
      </c>
      <c r="AG333" t="n">
        <v>16</v>
      </c>
      <c r="AH333" t="n">
        <v>3</v>
      </c>
      <c r="AI333" t="n">
        <v>10</v>
      </c>
      <c r="AJ333" t="n">
        <v>6</v>
      </c>
      <c r="AK333" t="n">
        <v>24</v>
      </c>
      <c r="AL333" t="n">
        <v>3</v>
      </c>
      <c r="AM333" t="n">
        <v>3</v>
      </c>
      <c r="AN333" t="n">
        <v>0</v>
      </c>
      <c r="AO333" t="n">
        <v>0</v>
      </c>
      <c r="AP333" t="inlineStr">
        <is>
          <t>No</t>
        </is>
      </c>
      <c r="AQ333" t="inlineStr">
        <is>
          <t>Yes</t>
        </is>
      </c>
      <c r="AR333">
        <f>HYPERLINK("http://catalog.hathitrust.org/Record/101892619","HathiTrust Record")</f>
        <v/>
      </c>
      <c r="AS333">
        <f>HYPERLINK("https://creighton-primo.hosted.exlibrisgroup.com/primo-explore/search?tab=default_tab&amp;search_scope=EVERYTHING&amp;vid=01CRU&amp;lang=en_US&amp;offset=0&amp;query=any,contains,991003494309702656","Catalog Record")</f>
        <v/>
      </c>
      <c r="AT333">
        <f>HYPERLINK("http://www.worldcat.org/oclc/1045201","WorldCat Record")</f>
        <v/>
      </c>
      <c r="AU333" t="inlineStr">
        <is>
          <t>58324749:eng</t>
        </is>
      </c>
      <c r="AV333" t="inlineStr">
        <is>
          <t>1045201</t>
        </is>
      </c>
      <c r="AW333" t="inlineStr">
        <is>
          <t>991003494309702656</t>
        </is>
      </c>
      <c r="AX333" t="inlineStr">
        <is>
          <t>991003494309702656</t>
        </is>
      </c>
      <c r="AY333" t="inlineStr">
        <is>
          <t>2268802390002656</t>
        </is>
      </c>
      <c r="AZ333" t="inlineStr">
        <is>
          <t>BOOK</t>
        </is>
      </c>
      <c r="BC333" t="inlineStr">
        <is>
          <t>32285003220224</t>
        </is>
      </c>
      <c r="BD333" t="inlineStr">
        <is>
          <t>893705277</t>
        </is>
      </c>
    </row>
    <row r="334">
      <c r="A334" t="inlineStr">
        <is>
          <t>No</t>
        </is>
      </c>
      <c r="B334" t="inlineStr">
        <is>
          <t>PG3476.N3 K5</t>
        </is>
      </c>
      <c r="C334" t="inlineStr">
        <is>
          <t>0                      PG 3476000N  3                  K  5</t>
        </is>
      </c>
      <c r="D334" t="inlineStr">
        <is>
          <t>King, queen, knave; a novel [by] Vladimir Nabokov. Translated by Dmitri Nabokov in collaboration with the author.</t>
        </is>
      </c>
      <c r="F334" t="inlineStr">
        <is>
          <t>No</t>
        </is>
      </c>
      <c r="G334" t="inlineStr">
        <is>
          <t>1</t>
        </is>
      </c>
      <c r="H334" t="inlineStr">
        <is>
          <t>No</t>
        </is>
      </c>
      <c r="I334" t="inlineStr">
        <is>
          <t>No</t>
        </is>
      </c>
      <c r="J334" t="inlineStr">
        <is>
          <t>0</t>
        </is>
      </c>
      <c r="K334" t="inlineStr">
        <is>
          <t>Nabokov, Vladimir Vladimirovich, 1899-1977.</t>
        </is>
      </c>
      <c r="L334" t="inlineStr">
        <is>
          <t>New York, McGraw-Hill [1968]</t>
        </is>
      </c>
      <c r="M334" t="inlineStr">
        <is>
          <t>1968</t>
        </is>
      </c>
      <c r="N334" t="inlineStr">
        <is>
          <t>[1st ed.]</t>
        </is>
      </c>
      <c r="O334" t="inlineStr">
        <is>
          <t>eng</t>
        </is>
      </c>
      <c r="P334" t="inlineStr">
        <is>
          <t>nyu</t>
        </is>
      </c>
      <c r="R334" t="inlineStr">
        <is>
          <t xml:space="preserve">PG </t>
        </is>
      </c>
      <c r="S334" t="n">
        <v>6</v>
      </c>
      <c r="T334" t="n">
        <v>6</v>
      </c>
      <c r="U334" t="inlineStr">
        <is>
          <t>2007-05-19</t>
        </is>
      </c>
      <c r="V334" t="inlineStr">
        <is>
          <t>2007-05-19</t>
        </is>
      </c>
      <c r="W334" t="inlineStr">
        <is>
          <t>1997-09-09</t>
        </is>
      </c>
      <c r="X334" t="inlineStr">
        <is>
          <t>1997-09-09</t>
        </is>
      </c>
      <c r="Y334" t="n">
        <v>1937</v>
      </c>
      <c r="Z334" t="n">
        <v>1814</v>
      </c>
      <c r="AA334" t="n">
        <v>1988</v>
      </c>
      <c r="AB334" t="n">
        <v>18</v>
      </c>
      <c r="AC334" t="n">
        <v>18</v>
      </c>
      <c r="AD334" t="n">
        <v>48</v>
      </c>
      <c r="AE334" t="n">
        <v>55</v>
      </c>
      <c r="AF334" t="n">
        <v>18</v>
      </c>
      <c r="AG334" t="n">
        <v>23</v>
      </c>
      <c r="AH334" t="n">
        <v>6</v>
      </c>
      <c r="AI334" t="n">
        <v>10</v>
      </c>
      <c r="AJ334" t="n">
        <v>23</v>
      </c>
      <c r="AK334" t="n">
        <v>26</v>
      </c>
      <c r="AL334" t="n">
        <v>10</v>
      </c>
      <c r="AM334" t="n">
        <v>10</v>
      </c>
      <c r="AN334" t="n">
        <v>0</v>
      </c>
      <c r="AO334" t="n">
        <v>0</v>
      </c>
      <c r="AP334" t="inlineStr">
        <is>
          <t>No</t>
        </is>
      </c>
      <c r="AQ334" t="inlineStr">
        <is>
          <t>Yes</t>
        </is>
      </c>
      <c r="AR334">
        <f>HYPERLINK("http://catalog.hathitrust.org/Record/001110447","HathiTrust Record")</f>
        <v/>
      </c>
      <c r="AS334">
        <f>HYPERLINK("https://creighton-primo.hosted.exlibrisgroup.com/primo-explore/search?tab=default_tab&amp;search_scope=EVERYTHING&amp;vid=01CRU&amp;lang=en_US&amp;offset=0&amp;query=any,contains,991002327489702656","Catalog Record")</f>
        <v/>
      </c>
      <c r="AT334">
        <f>HYPERLINK("http://www.worldcat.org/oclc/321209","WorldCat Record")</f>
        <v/>
      </c>
      <c r="AU334" t="inlineStr">
        <is>
          <t>53013583:eng</t>
        </is>
      </c>
      <c r="AV334" t="inlineStr">
        <is>
          <t>321209</t>
        </is>
      </c>
      <c r="AW334" t="inlineStr">
        <is>
          <t>991002327489702656</t>
        </is>
      </c>
      <c r="AX334" t="inlineStr">
        <is>
          <t>991002327489702656</t>
        </is>
      </c>
      <c r="AY334" t="inlineStr">
        <is>
          <t>2256107690002656</t>
        </is>
      </c>
      <c r="AZ334" t="inlineStr">
        <is>
          <t>BOOK</t>
        </is>
      </c>
      <c r="BC334" t="inlineStr">
        <is>
          <t>32285003220232</t>
        </is>
      </c>
      <c r="BD334" t="inlineStr">
        <is>
          <t>893691495</t>
        </is>
      </c>
    </row>
    <row r="335">
      <c r="A335" t="inlineStr">
        <is>
          <t>No</t>
        </is>
      </c>
      <c r="B335" t="inlineStr">
        <is>
          <t>PG3476.N3 L3 1960</t>
        </is>
      </c>
      <c r="C335" t="inlineStr">
        <is>
          <t>0                      PG 3476000N  3                  L  3           1960</t>
        </is>
      </c>
      <c r="D335" t="inlineStr">
        <is>
          <t>Laughter in the dark.</t>
        </is>
      </c>
      <c r="F335" t="inlineStr">
        <is>
          <t>No</t>
        </is>
      </c>
      <c r="G335" t="inlineStr">
        <is>
          <t>1</t>
        </is>
      </c>
      <c r="H335" t="inlineStr">
        <is>
          <t>No</t>
        </is>
      </c>
      <c r="I335" t="inlineStr">
        <is>
          <t>No</t>
        </is>
      </c>
      <c r="J335" t="inlineStr">
        <is>
          <t>0</t>
        </is>
      </c>
      <c r="K335" t="inlineStr">
        <is>
          <t>Nabokov, Vladimir Vladimirovich, 1899-1977.</t>
        </is>
      </c>
      <c r="L335" t="inlineStr">
        <is>
          <t>New York, New Directions, 1960, c1938]</t>
        </is>
      </c>
      <c r="M335" t="inlineStr">
        <is>
          <t>1960</t>
        </is>
      </c>
      <c r="N335" t="inlineStr">
        <is>
          <t>[New ed.</t>
        </is>
      </c>
      <c r="O335" t="inlineStr">
        <is>
          <t>eng</t>
        </is>
      </c>
      <c r="P335" t="inlineStr">
        <is>
          <t>nyu</t>
        </is>
      </c>
      <c r="R335" t="inlineStr">
        <is>
          <t xml:space="preserve">PG </t>
        </is>
      </c>
      <c r="S335" t="n">
        <v>5</v>
      </c>
      <c r="T335" t="n">
        <v>5</v>
      </c>
      <c r="U335" t="inlineStr">
        <is>
          <t>2007-05-19</t>
        </is>
      </c>
      <c r="V335" t="inlineStr">
        <is>
          <t>2007-05-19</t>
        </is>
      </c>
      <c r="W335" t="inlineStr">
        <is>
          <t>1997-09-09</t>
        </is>
      </c>
      <c r="X335" t="inlineStr">
        <is>
          <t>1997-09-09</t>
        </is>
      </c>
      <c r="Y335" t="n">
        <v>791</v>
      </c>
      <c r="Z335" t="n">
        <v>729</v>
      </c>
      <c r="AA335" t="n">
        <v>886</v>
      </c>
      <c r="AB335" t="n">
        <v>7</v>
      </c>
      <c r="AC335" t="n">
        <v>7</v>
      </c>
      <c r="AD335" t="n">
        <v>28</v>
      </c>
      <c r="AE335" t="n">
        <v>31</v>
      </c>
      <c r="AF335" t="n">
        <v>10</v>
      </c>
      <c r="AG335" t="n">
        <v>11</v>
      </c>
      <c r="AH335" t="n">
        <v>5</v>
      </c>
      <c r="AI335" t="n">
        <v>6</v>
      </c>
      <c r="AJ335" t="n">
        <v>14</v>
      </c>
      <c r="AK335" t="n">
        <v>17</v>
      </c>
      <c r="AL335" t="n">
        <v>4</v>
      </c>
      <c r="AM335" t="n">
        <v>4</v>
      </c>
      <c r="AN335" t="n">
        <v>0</v>
      </c>
      <c r="AO335" t="n">
        <v>0</v>
      </c>
      <c r="AP335" t="inlineStr">
        <is>
          <t>No</t>
        </is>
      </c>
      <c r="AQ335" t="inlineStr">
        <is>
          <t>No</t>
        </is>
      </c>
      <c r="AS335">
        <f>HYPERLINK("https://creighton-primo.hosted.exlibrisgroup.com/primo-explore/search?tab=default_tab&amp;search_scope=EVERYTHING&amp;vid=01CRU&amp;lang=en_US&amp;offset=0&amp;query=any,contains,991002219599702656","Catalog Record")</f>
        <v/>
      </c>
      <c r="AT335">
        <f>HYPERLINK("http://www.worldcat.org/oclc/289705","WorldCat Record")</f>
        <v/>
      </c>
      <c r="AU335" t="inlineStr">
        <is>
          <t>10678388932:eng</t>
        </is>
      </c>
      <c r="AV335" t="inlineStr">
        <is>
          <t>289705</t>
        </is>
      </c>
      <c r="AW335" t="inlineStr">
        <is>
          <t>991002219599702656</t>
        </is>
      </c>
      <c r="AX335" t="inlineStr">
        <is>
          <t>991002219599702656</t>
        </is>
      </c>
      <c r="AY335" t="inlineStr">
        <is>
          <t>2262119400002656</t>
        </is>
      </c>
      <c r="AZ335" t="inlineStr">
        <is>
          <t>BOOK</t>
        </is>
      </c>
      <c r="BC335" t="inlineStr">
        <is>
          <t>32285003220240</t>
        </is>
      </c>
      <c r="BD335" t="inlineStr">
        <is>
          <t>893885986</t>
        </is>
      </c>
    </row>
    <row r="336">
      <c r="A336" t="inlineStr">
        <is>
          <t>No</t>
        </is>
      </c>
      <c r="B336" t="inlineStr">
        <is>
          <t>PG3476.N3 P6</t>
        </is>
      </c>
      <c r="C336" t="inlineStr">
        <is>
          <t>0                      PG 3476000N  3                  P  6</t>
        </is>
      </c>
      <c r="D336" t="inlineStr">
        <is>
          <t>Pnin Vladimir Nabokov</t>
        </is>
      </c>
      <c r="F336" t="inlineStr">
        <is>
          <t>No</t>
        </is>
      </c>
      <c r="G336" t="inlineStr">
        <is>
          <t>1</t>
        </is>
      </c>
      <c r="H336" t="inlineStr">
        <is>
          <t>No</t>
        </is>
      </c>
      <c r="I336" t="inlineStr">
        <is>
          <t>No</t>
        </is>
      </c>
      <c r="J336" t="inlineStr">
        <is>
          <t>0</t>
        </is>
      </c>
      <c r="K336" t="inlineStr">
        <is>
          <t>Nabokov, Vladimir Vladimirovich, 1899-1977.</t>
        </is>
      </c>
      <c r="L336" t="inlineStr">
        <is>
          <t>New York Atheneum 1966,[c1957]</t>
        </is>
      </c>
      <c r="M336" t="inlineStr">
        <is>
          <t>1966</t>
        </is>
      </c>
      <c r="O336" t="inlineStr">
        <is>
          <t>eng</t>
        </is>
      </c>
      <c r="P336" t="inlineStr">
        <is>
          <t xml:space="preserve">xx </t>
        </is>
      </c>
      <c r="Q336" t="inlineStr">
        <is>
          <t>Atheneum ; 55</t>
        </is>
      </c>
      <c r="R336" t="inlineStr">
        <is>
          <t xml:space="preserve">PG </t>
        </is>
      </c>
      <c r="S336" t="n">
        <v>9</v>
      </c>
      <c r="T336" t="n">
        <v>9</v>
      </c>
      <c r="U336" t="inlineStr">
        <is>
          <t>2008-04-28</t>
        </is>
      </c>
      <c r="V336" t="inlineStr">
        <is>
          <t>2008-04-28</t>
        </is>
      </c>
      <c r="W336" t="inlineStr">
        <is>
          <t>1997-09-09</t>
        </is>
      </c>
      <c r="X336" t="inlineStr">
        <is>
          <t>1997-09-09</t>
        </is>
      </c>
      <c r="Y336" t="n">
        <v>59</v>
      </c>
      <c r="Z336" t="n">
        <v>57</v>
      </c>
      <c r="AA336" t="n">
        <v>1492</v>
      </c>
      <c r="AB336" t="n">
        <v>1</v>
      </c>
      <c r="AC336" t="n">
        <v>14</v>
      </c>
      <c r="AD336" t="n">
        <v>3</v>
      </c>
      <c r="AE336" t="n">
        <v>46</v>
      </c>
      <c r="AF336" t="n">
        <v>3</v>
      </c>
      <c r="AG336" t="n">
        <v>18</v>
      </c>
      <c r="AH336" t="n">
        <v>0</v>
      </c>
      <c r="AI336" t="n">
        <v>7</v>
      </c>
      <c r="AJ336" t="n">
        <v>0</v>
      </c>
      <c r="AK336" t="n">
        <v>21</v>
      </c>
      <c r="AL336" t="n">
        <v>0</v>
      </c>
      <c r="AM336" t="n">
        <v>10</v>
      </c>
      <c r="AN336" t="n">
        <v>0</v>
      </c>
      <c r="AO336" t="n">
        <v>0</v>
      </c>
      <c r="AP336" t="inlineStr">
        <is>
          <t>No</t>
        </is>
      </c>
      <c r="AQ336" t="inlineStr">
        <is>
          <t>Yes</t>
        </is>
      </c>
      <c r="AR336">
        <f>HYPERLINK("http://catalog.hathitrust.org/Record/005263092","HathiTrust Record")</f>
        <v/>
      </c>
      <c r="AS336">
        <f>HYPERLINK("https://creighton-primo.hosted.exlibrisgroup.com/primo-explore/search?tab=default_tab&amp;search_scope=EVERYTHING&amp;vid=01CRU&amp;lang=en_US&amp;offset=0&amp;query=any,contains,991000899799702656","Catalog Record")</f>
        <v/>
      </c>
      <c r="AT336">
        <f>HYPERLINK("http://www.worldcat.org/oclc/7696744","WorldCat Record")</f>
        <v/>
      </c>
      <c r="AU336" t="inlineStr">
        <is>
          <t>502598:eng</t>
        </is>
      </c>
      <c r="AV336" t="inlineStr">
        <is>
          <t>7696744</t>
        </is>
      </c>
      <c r="AW336" t="inlineStr">
        <is>
          <t>991000899799702656</t>
        </is>
      </c>
      <c r="AX336" t="inlineStr">
        <is>
          <t>991000899799702656</t>
        </is>
      </c>
      <c r="AY336" t="inlineStr">
        <is>
          <t>2258144180002656</t>
        </is>
      </c>
      <c r="AZ336" t="inlineStr">
        <is>
          <t>BOOK</t>
        </is>
      </c>
      <c r="BC336" t="inlineStr">
        <is>
          <t>32285003220257</t>
        </is>
      </c>
      <c r="BD336" t="inlineStr">
        <is>
          <t>893772090</t>
        </is>
      </c>
    </row>
    <row r="337">
      <c r="A337" t="inlineStr">
        <is>
          <t>No</t>
        </is>
      </c>
      <c r="B337" t="inlineStr">
        <is>
          <t>PG3476.N3 R4 1959</t>
        </is>
      </c>
      <c r="C337" t="inlineStr">
        <is>
          <t>0                      PG 3476000N  3                  R  4           1959</t>
        </is>
      </c>
      <c r="D337" t="inlineStr">
        <is>
          <t>The real life of Sebastian Knight.</t>
        </is>
      </c>
      <c r="F337" t="inlineStr">
        <is>
          <t>No</t>
        </is>
      </c>
      <c r="G337" t="inlineStr">
        <is>
          <t>1</t>
        </is>
      </c>
      <c r="H337" t="inlineStr">
        <is>
          <t>No</t>
        </is>
      </c>
      <c r="I337" t="inlineStr">
        <is>
          <t>No</t>
        </is>
      </c>
      <c r="J337" t="inlineStr">
        <is>
          <t>0</t>
        </is>
      </c>
      <c r="K337" t="inlineStr">
        <is>
          <t>Nabokov, Vladimir Vladimirovich, 1899-1977.</t>
        </is>
      </c>
      <c r="L337" t="inlineStr">
        <is>
          <t>Norfolk, Conn., New Directions [1959]</t>
        </is>
      </c>
      <c r="M337" t="inlineStr">
        <is>
          <t>1959</t>
        </is>
      </c>
      <c r="O337" t="inlineStr">
        <is>
          <t>eng</t>
        </is>
      </c>
      <c r="P337" t="inlineStr">
        <is>
          <t>ctu</t>
        </is>
      </c>
      <c r="R337" t="inlineStr">
        <is>
          <t xml:space="preserve">PG </t>
        </is>
      </c>
      <c r="S337" t="n">
        <v>1</v>
      </c>
      <c r="T337" t="n">
        <v>1</v>
      </c>
      <c r="U337" t="inlineStr">
        <is>
          <t>2010-07-08</t>
        </is>
      </c>
      <c r="V337" t="inlineStr">
        <is>
          <t>2010-07-08</t>
        </is>
      </c>
      <c r="W337" t="inlineStr">
        <is>
          <t>1997-09-09</t>
        </is>
      </c>
      <c r="X337" t="inlineStr">
        <is>
          <t>1997-09-09</t>
        </is>
      </c>
      <c r="Y337" t="n">
        <v>847</v>
      </c>
      <c r="Z337" t="n">
        <v>781</v>
      </c>
      <c r="AA337" t="n">
        <v>1076</v>
      </c>
      <c r="AB337" t="n">
        <v>3</v>
      </c>
      <c r="AC337" t="n">
        <v>6</v>
      </c>
      <c r="AD337" t="n">
        <v>30</v>
      </c>
      <c r="AE337" t="n">
        <v>40</v>
      </c>
      <c r="AF337" t="n">
        <v>12</v>
      </c>
      <c r="AG337" t="n">
        <v>16</v>
      </c>
      <c r="AH337" t="n">
        <v>6</v>
      </c>
      <c r="AI337" t="n">
        <v>8</v>
      </c>
      <c r="AJ337" t="n">
        <v>17</v>
      </c>
      <c r="AK337" t="n">
        <v>23</v>
      </c>
      <c r="AL337" t="n">
        <v>2</v>
      </c>
      <c r="AM337" t="n">
        <v>4</v>
      </c>
      <c r="AN337" t="n">
        <v>0</v>
      </c>
      <c r="AO337" t="n">
        <v>0</v>
      </c>
      <c r="AP337" t="inlineStr">
        <is>
          <t>No</t>
        </is>
      </c>
      <c r="AQ337" t="inlineStr">
        <is>
          <t>No</t>
        </is>
      </c>
      <c r="AS337">
        <f>HYPERLINK("https://creighton-primo.hosted.exlibrisgroup.com/primo-explore/search?tab=default_tab&amp;search_scope=EVERYTHING&amp;vid=01CRU&amp;lang=en_US&amp;offset=0&amp;query=any,contains,991002220419702656","Catalog Record")</f>
        <v/>
      </c>
      <c r="AT337">
        <f>HYPERLINK("http://www.worldcat.org/oclc/289896","WorldCat Record")</f>
        <v/>
      </c>
      <c r="AU337" t="inlineStr">
        <is>
          <t>470522:eng</t>
        </is>
      </c>
      <c r="AV337" t="inlineStr">
        <is>
          <t>289896</t>
        </is>
      </c>
      <c r="AW337" t="inlineStr">
        <is>
          <t>991002220419702656</t>
        </is>
      </c>
      <c r="AX337" t="inlineStr">
        <is>
          <t>991002220419702656</t>
        </is>
      </c>
      <c r="AY337" t="inlineStr">
        <is>
          <t>2262040660002656</t>
        </is>
      </c>
      <c r="AZ337" t="inlineStr">
        <is>
          <t>BOOK</t>
        </is>
      </c>
      <c r="BC337" t="inlineStr">
        <is>
          <t>32285003220265</t>
        </is>
      </c>
      <c r="BD337" t="inlineStr">
        <is>
          <t>893232697</t>
        </is>
      </c>
    </row>
    <row r="338">
      <c r="A338" t="inlineStr">
        <is>
          <t>No</t>
        </is>
      </c>
      <c r="B338" t="inlineStr">
        <is>
          <t>PG3476.N3 V5513 1986</t>
        </is>
      </c>
      <c r="C338" t="inlineStr">
        <is>
          <t>0                      PG 3476000N  3                  V  5513        1986</t>
        </is>
      </c>
      <c r="D338" t="inlineStr">
        <is>
          <t>The enchanter / Vladimir Nabokov ; translated by Dmitri Nabokov.</t>
        </is>
      </c>
      <c r="F338" t="inlineStr">
        <is>
          <t>No</t>
        </is>
      </c>
      <c r="G338" t="inlineStr">
        <is>
          <t>1</t>
        </is>
      </c>
      <c r="H338" t="inlineStr">
        <is>
          <t>No</t>
        </is>
      </c>
      <c r="I338" t="inlineStr">
        <is>
          <t>No</t>
        </is>
      </c>
      <c r="J338" t="inlineStr">
        <is>
          <t>0</t>
        </is>
      </c>
      <c r="K338" t="inlineStr">
        <is>
          <t>Nabokov, Vladimir Vladimirovich, 1899-1977.</t>
        </is>
      </c>
      <c r="L338" t="inlineStr">
        <is>
          <t>New York : G.P. Putnam's Sons, c1986.</t>
        </is>
      </c>
      <c r="M338" t="inlineStr">
        <is>
          <t>1986</t>
        </is>
      </c>
      <c r="O338" t="inlineStr">
        <is>
          <t>eng</t>
        </is>
      </c>
      <c r="P338" t="inlineStr">
        <is>
          <t>nyu</t>
        </is>
      </c>
      <c r="R338" t="inlineStr">
        <is>
          <t xml:space="preserve">PG </t>
        </is>
      </c>
      <c r="S338" t="n">
        <v>11</v>
      </c>
      <c r="T338" t="n">
        <v>11</v>
      </c>
      <c r="U338" t="inlineStr">
        <is>
          <t>2007-05-19</t>
        </is>
      </c>
      <c r="V338" t="inlineStr">
        <is>
          <t>2007-05-19</t>
        </is>
      </c>
      <c r="W338" t="inlineStr">
        <is>
          <t>1993-04-28</t>
        </is>
      </c>
      <c r="X338" t="inlineStr">
        <is>
          <t>1993-04-28</t>
        </is>
      </c>
      <c r="Y338" t="n">
        <v>1077</v>
      </c>
      <c r="Z338" t="n">
        <v>987</v>
      </c>
      <c r="AA338" t="n">
        <v>1121</v>
      </c>
      <c r="AB338" t="n">
        <v>8</v>
      </c>
      <c r="AC338" t="n">
        <v>9</v>
      </c>
      <c r="AD338" t="n">
        <v>26</v>
      </c>
      <c r="AE338" t="n">
        <v>29</v>
      </c>
      <c r="AF338" t="n">
        <v>8</v>
      </c>
      <c r="AG338" t="n">
        <v>9</v>
      </c>
      <c r="AH338" t="n">
        <v>6</v>
      </c>
      <c r="AI338" t="n">
        <v>7</v>
      </c>
      <c r="AJ338" t="n">
        <v>15</v>
      </c>
      <c r="AK338" t="n">
        <v>16</v>
      </c>
      <c r="AL338" t="n">
        <v>3</v>
      </c>
      <c r="AM338" t="n">
        <v>4</v>
      </c>
      <c r="AN338" t="n">
        <v>0</v>
      </c>
      <c r="AO338" t="n">
        <v>0</v>
      </c>
      <c r="AP338" t="inlineStr">
        <is>
          <t>No</t>
        </is>
      </c>
      <c r="AQ338" t="inlineStr">
        <is>
          <t>Yes</t>
        </is>
      </c>
      <c r="AR338">
        <f>HYPERLINK("http://catalog.hathitrust.org/Record/000804837","HathiTrust Record")</f>
        <v/>
      </c>
      <c r="AS338">
        <f>HYPERLINK("https://creighton-primo.hosted.exlibrisgroup.com/primo-explore/search?tab=default_tab&amp;search_scope=EVERYTHING&amp;vid=01CRU&amp;lang=en_US&amp;offset=0&amp;query=any,contains,991000879429702656","Catalog Record")</f>
        <v/>
      </c>
      <c r="AT338">
        <f>HYPERLINK("http://www.worldcat.org/oclc/13822927","WorldCat Record")</f>
        <v/>
      </c>
      <c r="AU338" t="inlineStr">
        <is>
          <t>7335742:eng</t>
        </is>
      </c>
      <c r="AV338" t="inlineStr">
        <is>
          <t>13822927</t>
        </is>
      </c>
      <c r="AW338" t="inlineStr">
        <is>
          <t>991000879429702656</t>
        </is>
      </c>
      <c r="AX338" t="inlineStr">
        <is>
          <t>991000879429702656</t>
        </is>
      </c>
      <c r="AY338" t="inlineStr">
        <is>
          <t>2265310390002656</t>
        </is>
      </c>
      <c r="AZ338" t="inlineStr">
        <is>
          <t>BOOK</t>
        </is>
      </c>
      <c r="BB338" t="inlineStr">
        <is>
          <t>9780399132117</t>
        </is>
      </c>
      <c r="BC338" t="inlineStr">
        <is>
          <t>32285001649614</t>
        </is>
      </c>
      <c r="BD338" t="inlineStr">
        <is>
          <t>893243679</t>
        </is>
      </c>
    </row>
    <row r="339">
      <c r="A339" t="inlineStr">
        <is>
          <t>No</t>
        </is>
      </c>
      <c r="B339" t="inlineStr">
        <is>
          <t>PG3476.N3 Z58</t>
        </is>
      </c>
      <c r="C339" t="inlineStr">
        <is>
          <t>0                      PG 3476000N  3                  Z  58</t>
        </is>
      </c>
      <c r="D339" t="inlineStr">
        <is>
          <t>A Book of things about Vladimir Nabokov / edited by Carl R. Proffer.</t>
        </is>
      </c>
      <c r="F339" t="inlineStr">
        <is>
          <t>No</t>
        </is>
      </c>
      <c r="G339" t="inlineStr">
        <is>
          <t>1</t>
        </is>
      </c>
      <c r="H339" t="inlineStr">
        <is>
          <t>No</t>
        </is>
      </c>
      <c r="I339" t="inlineStr">
        <is>
          <t>No</t>
        </is>
      </c>
      <c r="J339" t="inlineStr">
        <is>
          <t>0</t>
        </is>
      </c>
      <c r="L339" t="inlineStr">
        <is>
          <t>Ann Arbor, Mich. : Ardis, 1974.</t>
        </is>
      </c>
      <c r="M339" t="inlineStr">
        <is>
          <t>1974</t>
        </is>
      </c>
      <c r="O339" t="inlineStr">
        <is>
          <t>eng</t>
        </is>
      </c>
      <c r="P339" t="inlineStr">
        <is>
          <t>miu</t>
        </is>
      </c>
      <c r="R339" t="inlineStr">
        <is>
          <t xml:space="preserve">PG </t>
        </is>
      </c>
      <c r="S339" t="n">
        <v>1</v>
      </c>
      <c r="T339" t="n">
        <v>1</v>
      </c>
      <c r="U339" t="inlineStr">
        <is>
          <t>2006-03-22</t>
        </is>
      </c>
      <c r="V339" t="inlineStr">
        <is>
          <t>2006-03-22</t>
        </is>
      </c>
      <c r="W339" t="inlineStr">
        <is>
          <t>1997-09-09</t>
        </is>
      </c>
      <c r="X339" t="inlineStr">
        <is>
          <t>1997-09-09</t>
        </is>
      </c>
      <c r="Y339" t="n">
        <v>651</v>
      </c>
      <c r="Z339" t="n">
        <v>548</v>
      </c>
      <c r="AA339" t="n">
        <v>554</v>
      </c>
      <c r="AB339" t="n">
        <v>7</v>
      </c>
      <c r="AC339" t="n">
        <v>7</v>
      </c>
      <c r="AD339" t="n">
        <v>30</v>
      </c>
      <c r="AE339" t="n">
        <v>30</v>
      </c>
      <c r="AF339" t="n">
        <v>12</v>
      </c>
      <c r="AG339" t="n">
        <v>12</v>
      </c>
      <c r="AH339" t="n">
        <v>8</v>
      </c>
      <c r="AI339" t="n">
        <v>8</v>
      </c>
      <c r="AJ339" t="n">
        <v>13</v>
      </c>
      <c r="AK339" t="n">
        <v>13</v>
      </c>
      <c r="AL339" t="n">
        <v>6</v>
      </c>
      <c r="AM339" t="n">
        <v>6</v>
      </c>
      <c r="AN339" t="n">
        <v>0</v>
      </c>
      <c r="AO339" t="n">
        <v>0</v>
      </c>
      <c r="AP339" t="inlineStr">
        <is>
          <t>No</t>
        </is>
      </c>
      <c r="AQ339" t="inlineStr">
        <is>
          <t>Yes</t>
        </is>
      </c>
      <c r="AR339">
        <f>HYPERLINK("http://catalog.hathitrust.org/Record/000672507","HathiTrust Record")</f>
        <v/>
      </c>
      <c r="AS339">
        <f>HYPERLINK("https://creighton-primo.hosted.exlibrisgroup.com/primo-explore/search?tab=default_tab&amp;search_scope=EVERYTHING&amp;vid=01CRU&amp;lang=en_US&amp;offset=0&amp;query=any,contains,991003639649702656","Catalog Record")</f>
        <v/>
      </c>
      <c r="AT339">
        <f>HYPERLINK("http://www.worldcat.org/oclc/1235726","WorldCat Record")</f>
        <v/>
      </c>
      <c r="AU339" t="inlineStr">
        <is>
          <t>350948713:eng</t>
        </is>
      </c>
      <c r="AV339" t="inlineStr">
        <is>
          <t>1235726</t>
        </is>
      </c>
      <c r="AW339" t="inlineStr">
        <is>
          <t>991003639649702656</t>
        </is>
      </c>
      <c r="AX339" t="inlineStr">
        <is>
          <t>991003639649702656</t>
        </is>
      </c>
      <c r="AY339" t="inlineStr">
        <is>
          <t>2263429070002656</t>
        </is>
      </c>
      <c r="AZ339" t="inlineStr">
        <is>
          <t>BOOK</t>
        </is>
      </c>
      <c r="BB339" t="inlineStr">
        <is>
          <t>9780882330549</t>
        </is>
      </c>
      <c r="BC339" t="inlineStr">
        <is>
          <t>32285003220307</t>
        </is>
      </c>
      <c r="BD339" t="inlineStr">
        <is>
          <t>893518706</t>
        </is>
      </c>
    </row>
    <row r="340">
      <c r="A340" t="inlineStr">
        <is>
          <t>No</t>
        </is>
      </c>
      <c r="B340" t="inlineStr">
        <is>
          <t>PG3476.N3 Z615 1992</t>
        </is>
      </c>
      <c r="C340" t="inlineStr">
        <is>
          <t>0                      PG 3476000N  3                  Z  615         1992</t>
        </is>
      </c>
      <c r="D340" t="inlineStr">
        <is>
          <t>Nabokov's early fiction : patterns of self and other / Julian W. Connolly.</t>
        </is>
      </c>
      <c r="F340" t="inlineStr">
        <is>
          <t>No</t>
        </is>
      </c>
      <c r="G340" t="inlineStr">
        <is>
          <t>1</t>
        </is>
      </c>
      <c r="H340" t="inlineStr">
        <is>
          <t>No</t>
        </is>
      </c>
      <c r="I340" t="inlineStr">
        <is>
          <t>No</t>
        </is>
      </c>
      <c r="J340" t="inlineStr">
        <is>
          <t>0</t>
        </is>
      </c>
      <c r="K340" t="inlineStr">
        <is>
          <t>Connolly, Julian W.</t>
        </is>
      </c>
      <c r="L340" t="inlineStr">
        <is>
          <t>Cambridge ; New York : Cambridge University Press, 1992.</t>
        </is>
      </c>
      <c r="M340" t="inlineStr">
        <is>
          <t>1992</t>
        </is>
      </c>
      <c r="O340" t="inlineStr">
        <is>
          <t>eng</t>
        </is>
      </c>
      <c r="P340" t="inlineStr">
        <is>
          <t>enk</t>
        </is>
      </c>
      <c r="Q340" t="inlineStr">
        <is>
          <t>Cambridge studies in Russian literature</t>
        </is>
      </c>
      <c r="R340" t="inlineStr">
        <is>
          <t xml:space="preserve">PG </t>
        </is>
      </c>
      <c r="S340" t="n">
        <v>1</v>
      </c>
      <c r="T340" t="n">
        <v>1</v>
      </c>
      <c r="U340" t="inlineStr">
        <is>
          <t>2005-03-14</t>
        </is>
      </c>
      <c r="V340" t="inlineStr">
        <is>
          <t>2005-03-14</t>
        </is>
      </c>
      <c r="W340" t="inlineStr">
        <is>
          <t>1993-12-10</t>
        </is>
      </c>
      <c r="X340" t="inlineStr">
        <is>
          <t>1993-12-10</t>
        </is>
      </c>
      <c r="Y340" t="n">
        <v>405</v>
      </c>
      <c r="Z340" t="n">
        <v>301</v>
      </c>
      <c r="AA340" t="n">
        <v>318</v>
      </c>
      <c r="AB340" t="n">
        <v>1</v>
      </c>
      <c r="AC340" t="n">
        <v>1</v>
      </c>
      <c r="AD340" t="n">
        <v>11</v>
      </c>
      <c r="AE340" t="n">
        <v>13</v>
      </c>
      <c r="AF340" t="n">
        <v>1</v>
      </c>
      <c r="AG340" t="n">
        <v>3</v>
      </c>
      <c r="AH340" t="n">
        <v>4</v>
      </c>
      <c r="AI340" t="n">
        <v>4</v>
      </c>
      <c r="AJ340" t="n">
        <v>9</v>
      </c>
      <c r="AK340" t="n">
        <v>10</v>
      </c>
      <c r="AL340" t="n">
        <v>0</v>
      </c>
      <c r="AM340" t="n">
        <v>0</v>
      </c>
      <c r="AN340" t="n">
        <v>0</v>
      </c>
      <c r="AO340" t="n">
        <v>0</v>
      </c>
      <c r="AP340" t="inlineStr">
        <is>
          <t>No</t>
        </is>
      </c>
      <c r="AQ340" t="inlineStr">
        <is>
          <t>No</t>
        </is>
      </c>
      <c r="AS340">
        <f>HYPERLINK("https://creighton-primo.hosted.exlibrisgroup.com/primo-explore/search?tab=default_tab&amp;search_scope=EVERYTHING&amp;vid=01CRU&amp;lang=en_US&amp;offset=0&amp;query=any,contains,991001932239702656","Catalog Record")</f>
        <v/>
      </c>
      <c r="AT340">
        <f>HYPERLINK("http://www.worldcat.org/oclc/24380019","WorldCat Record")</f>
        <v/>
      </c>
      <c r="AU340" t="inlineStr">
        <is>
          <t>808695061:eng</t>
        </is>
      </c>
      <c r="AV340" t="inlineStr">
        <is>
          <t>24380019</t>
        </is>
      </c>
      <c r="AW340" t="inlineStr">
        <is>
          <t>991001932239702656</t>
        </is>
      </c>
      <c r="AX340" t="inlineStr">
        <is>
          <t>991001932239702656</t>
        </is>
      </c>
      <c r="AY340" t="inlineStr">
        <is>
          <t>2264140890002656</t>
        </is>
      </c>
      <c r="AZ340" t="inlineStr">
        <is>
          <t>BOOK</t>
        </is>
      </c>
      <c r="BB340" t="inlineStr">
        <is>
          <t>9780521411356</t>
        </is>
      </c>
      <c r="BC340" t="inlineStr">
        <is>
          <t>32285001814648</t>
        </is>
      </c>
      <c r="BD340" t="inlineStr">
        <is>
          <t>893609277</t>
        </is>
      </c>
    </row>
    <row r="341">
      <c r="A341" t="inlineStr">
        <is>
          <t>No</t>
        </is>
      </c>
      <c r="B341" t="inlineStr">
        <is>
          <t>PG3476.N3 Z793 1982</t>
        </is>
      </c>
      <c r="C341" t="inlineStr">
        <is>
          <t>0                      PG 3476000N  3                  Z  793         1982</t>
        </is>
      </c>
      <c r="D341" t="inlineStr">
        <is>
          <t>Nabokov's fifth arc : Nabokov and others on his life's work / edited by J.E. Rivers and Charles Nicol.</t>
        </is>
      </c>
      <c r="F341" t="inlineStr">
        <is>
          <t>No</t>
        </is>
      </c>
      <c r="G341" t="inlineStr">
        <is>
          <t>1</t>
        </is>
      </c>
      <c r="H341" t="inlineStr">
        <is>
          <t>No</t>
        </is>
      </c>
      <c r="I341" t="inlineStr">
        <is>
          <t>No</t>
        </is>
      </c>
      <c r="J341" t="inlineStr">
        <is>
          <t>0</t>
        </is>
      </c>
      <c r="L341" t="inlineStr">
        <is>
          <t>Austin : University of Texas Press, 1982.</t>
        </is>
      </c>
      <c r="M341" t="inlineStr">
        <is>
          <t>1982</t>
        </is>
      </c>
      <c r="N341" t="inlineStr">
        <is>
          <t>1st ed.</t>
        </is>
      </c>
      <c r="O341" t="inlineStr">
        <is>
          <t>eng</t>
        </is>
      </c>
      <c r="P341" t="inlineStr">
        <is>
          <t>txu</t>
        </is>
      </c>
      <c r="Q341" t="inlineStr">
        <is>
          <t>The Dan Danciger publication series</t>
        </is>
      </c>
      <c r="R341" t="inlineStr">
        <is>
          <t xml:space="preserve">PG </t>
        </is>
      </c>
      <c r="S341" t="n">
        <v>2</v>
      </c>
      <c r="T341" t="n">
        <v>2</v>
      </c>
      <c r="U341" t="inlineStr">
        <is>
          <t>2003-12-04</t>
        </is>
      </c>
      <c r="V341" t="inlineStr">
        <is>
          <t>2003-12-04</t>
        </is>
      </c>
      <c r="W341" t="inlineStr">
        <is>
          <t>1993-04-28</t>
        </is>
      </c>
      <c r="X341" t="inlineStr">
        <is>
          <t>1993-04-28</t>
        </is>
      </c>
      <c r="Y341" t="n">
        <v>582</v>
      </c>
      <c r="Z341" t="n">
        <v>490</v>
      </c>
      <c r="AA341" t="n">
        <v>504</v>
      </c>
      <c r="AB341" t="n">
        <v>4</v>
      </c>
      <c r="AC341" t="n">
        <v>4</v>
      </c>
      <c r="AD341" t="n">
        <v>21</v>
      </c>
      <c r="AE341" t="n">
        <v>21</v>
      </c>
      <c r="AF341" t="n">
        <v>7</v>
      </c>
      <c r="AG341" t="n">
        <v>7</v>
      </c>
      <c r="AH341" t="n">
        <v>6</v>
      </c>
      <c r="AI341" t="n">
        <v>6</v>
      </c>
      <c r="AJ341" t="n">
        <v>11</v>
      </c>
      <c r="AK341" t="n">
        <v>11</v>
      </c>
      <c r="AL341" t="n">
        <v>3</v>
      </c>
      <c r="AM341" t="n">
        <v>3</v>
      </c>
      <c r="AN341" t="n">
        <v>0</v>
      </c>
      <c r="AO341" t="n">
        <v>0</v>
      </c>
      <c r="AP341" t="inlineStr">
        <is>
          <t>No</t>
        </is>
      </c>
      <c r="AQ341" t="inlineStr">
        <is>
          <t>Yes</t>
        </is>
      </c>
      <c r="AR341">
        <f>HYPERLINK("http://catalog.hathitrust.org/Record/000762619","HathiTrust Record")</f>
        <v/>
      </c>
      <c r="AS341">
        <f>HYPERLINK("https://creighton-primo.hosted.exlibrisgroup.com/primo-explore/search?tab=default_tab&amp;search_scope=EVERYTHING&amp;vid=01CRU&amp;lang=en_US&amp;offset=0&amp;query=any,contains,991005172889702656","Catalog Record")</f>
        <v/>
      </c>
      <c r="AT341">
        <f>HYPERLINK("http://www.worldcat.org/oclc/7876482","WorldCat Record")</f>
        <v/>
      </c>
      <c r="AU341" t="inlineStr">
        <is>
          <t>905815955:eng</t>
        </is>
      </c>
      <c r="AV341" t="inlineStr">
        <is>
          <t>7876482</t>
        </is>
      </c>
      <c r="AW341" t="inlineStr">
        <is>
          <t>991005172889702656</t>
        </is>
      </c>
      <c r="AX341" t="inlineStr">
        <is>
          <t>991005172889702656</t>
        </is>
      </c>
      <c r="AY341" t="inlineStr">
        <is>
          <t>2268793260002656</t>
        </is>
      </c>
      <c r="AZ341" t="inlineStr">
        <is>
          <t>BOOK</t>
        </is>
      </c>
      <c r="BB341" t="inlineStr">
        <is>
          <t>9780292755222</t>
        </is>
      </c>
      <c r="BC341" t="inlineStr">
        <is>
          <t>32285001649648</t>
        </is>
      </c>
      <c r="BD341" t="inlineStr">
        <is>
          <t>893424671</t>
        </is>
      </c>
    </row>
    <row r="342">
      <c r="A342" t="inlineStr">
        <is>
          <t>No</t>
        </is>
      </c>
      <c r="B342" t="inlineStr">
        <is>
          <t>PG3476.N3 Z83 1984</t>
        </is>
      </c>
      <c r="C342" t="inlineStr">
        <is>
          <t>0                      PG 3476000N  3                  Z  83          1984</t>
        </is>
      </c>
      <c r="D342" t="inlineStr">
        <is>
          <t>Vladimir Nabokov : a critical study of the novels / David Hampton.</t>
        </is>
      </c>
      <c r="F342" t="inlineStr">
        <is>
          <t>No</t>
        </is>
      </c>
      <c r="G342" t="inlineStr">
        <is>
          <t>1</t>
        </is>
      </c>
      <c r="H342" t="inlineStr">
        <is>
          <t>No</t>
        </is>
      </c>
      <c r="I342" t="inlineStr">
        <is>
          <t>No</t>
        </is>
      </c>
      <c r="J342" t="inlineStr">
        <is>
          <t>0</t>
        </is>
      </c>
      <c r="K342" t="inlineStr">
        <is>
          <t>Rampton, David, 1950-</t>
        </is>
      </c>
      <c r="L342" t="inlineStr">
        <is>
          <t>Cambridge [Cambridgeshire] ; New York : Cambridge University Press, 1984.</t>
        </is>
      </c>
      <c r="M342" t="inlineStr">
        <is>
          <t>1984</t>
        </is>
      </c>
      <c r="O342" t="inlineStr">
        <is>
          <t>eng</t>
        </is>
      </c>
      <c r="P342" t="inlineStr">
        <is>
          <t>enk</t>
        </is>
      </c>
      <c r="Q342" t="inlineStr">
        <is>
          <t>Cambridge studies in Russian literature</t>
        </is>
      </c>
      <c r="R342" t="inlineStr">
        <is>
          <t xml:space="preserve">PG </t>
        </is>
      </c>
      <c r="S342" t="n">
        <v>11</v>
      </c>
      <c r="T342" t="n">
        <v>11</v>
      </c>
      <c r="U342" t="inlineStr">
        <is>
          <t>2009-03-28</t>
        </is>
      </c>
      <c r="V342" t="inlineStr">
        <is>
          <t>2009-03-28</t>
        </is>
      </c>
      <c r="W342" t="inlineStr">
        <is>
          <t>1993-04-28</t>
        </is>
      </c>
      <c r="X342" t="inlineStr">
        <is>
          <t>1993-04-28</t>
        </is>
      </c>
      <c r="Y342" t="n">
        <v>650</v>
      </c>
      <c r="Z342" t="n">
        <v>486</v>
      </c>
      <c r="AA342" t="n">
        <v>486</v>
      </c>
      <c r="AB342" t="n">
        <v>3</v>
      </c>
      <c r="AC342" t="n">
        <v>3</v>
      </c>
      <c r="AD342" t="n">
        <v>18</v>
      </c>
      <c r="AE342" t="n">
        <v>18</v>
      </c>
      <c r="AF342" t="n">
        <v>4</v>
      </c>
      <c r="AG342" t="n">
        <v>4</v>
      </c>
      <c r="AH342" t="n">
        <v>5</v>
      </c>
      <c r="AI342" t="n">
        <v>5</v>
      </c>
      <c r="AJ342" t="n">
        <v>11</v>
      </c>
      <c r="AK342" t="n">
        <v>11</v>
      </c>
      <c r="AL342" t="n">
        <v>2</v>
      </c>
      <c r="AM342" t="n">
        <v>2</v>
      </c>
      <c r="AN342" t="n">
        <v>0</v>
      </c>
      <c r="AO342" t="n">
        <v>0</v>
      </c>
      <c r="AP342" t="inlineStr">
        <is>
          <t>No</t>
        </is>
      </c>
      <c r="AQ342" t="inlineStr">
        <is>
          <t>No</t>
        </is>
      </c>
      <c r="AS342">
        <f>HYPERLINK("https://creighton-primo.hosted.exlibrisgroup.com/primo-explore/search?tab=default_tab&amp;search_scope=EVERYTHING&amp;vid=01CRU&amp;lang=en_US&amp;offset=0&amp;query=any,contains,991000317239702656","Catalog Record")</f>
        <v/>
      </c>
      <c r="AT342">
        <f>HYPERLINK("http://www.worldcat.org/oclc/10123462","WorldCat Record")</f>
        <v/>
      </c>
      <c r="AU342" t="inlineStr">
        <is>
          <t>117886791:eng</t>
        </is>
      </c>
      <c r="AV342" t="inlineStr">
        <is>
          <t>10123462</t>
        </is>
      </c>
      <c r="AW342" t="inlineStr">
        <is>
          <t>991000317239702656</t>
        </is>
      </c>
      <c r="AX342" t="inlineStr">
        <is>
          <t>991000317239702656</t>
        </is>
      </c>
      <c r="AY342" t="inlineStr">
        <is>
          <t>2270337950002656</t>
        </is>
      </c>
      <c r="AZ342" t="inlineStr">
        <is>
          <t>BOOK</t>
        </is>
      </c>
      <c r="BB342" t="inlineStr">
        <is>
          <t>9780521276719</t>
        </is>
      </c>
      <c r="BC342" t="inlineStr">
        <is>
          <t>32285001649655</t>
        </is>
      </c>
      <c r="BD342" t="inlineStr">
        <is>
          <t>893714487</t>
        </is>
      </c>
    </row>
    <row r="343">
      <c r="A343" t="inlineStr">
        <is>
          <t>No</t>
        </is>
      </c>
      <c r="B343" t="inlineStr">
        <is>
          <t>PG3476.N3 Z84</t>
        </is>
      </c>
      <c r="C343" t="inlineStr">
        <is>
          <t>0                      PG 3476000N  3                  Z  84</t>
        </is>
      </c>
      <c r="D343" t="inlineStr">
        <is>
          <t>Nabokov's deceptive world.</t>
        </is>
      </c>
      <c r="F343" t="inlineStr">
        <is>
          <t>No</t>
        </is>
      </c>
      <c r="G343" t="inlineStr">
        <is>
          <t>1</t>
        </is>
      </c>
      <c r="H343" t="inlineStr">
        <is>
          <t>No</t>
        </is>
      </c>
      <c r="I343" t="inlineStr">
        <is>
          <t>No</t>
        </is>
      </c>
      <c r="J343" t="inlineStr">
        <is>
          <t>0</t>
        </is>
      </c>
      <c r="K343" t="inlineStr">
        <is>
          <t>Rowe, William Woodin.</t>
        </is>
      </c>
      <c r="L343" t="inlineStr">
        <is>
          <t>New York, New York University Press, 1971.</t>
        </is>
      </c>
      <c r="M343" t="inlineStr">
        <is>
          <t>1971</t>
        </is>
      </c>
      <c r="O343" t="inlineStr">
        <is>
          <t>eng</t>
        </is>
      </c>
      <c r="P343" t="inlineStr">
        <is>
          <t>nyu</t>
        </is>
      </c>
      <c r="R343" t="inlineStr">
        <is>
          <t xml:space="preserve">PG </t>
        </is>
      </c>
      <c r="S343" t="n">
        <v>11</v>
      </c>
      <c r="T343" t="n">
        <v>11</v>
      </c>
      <c r="U343" t="inlineStr">
        <is>
          <t>2009-03-28</t>
        </is>
      </c>
      <c r="V343" t="inlineStr">
        <is>
          <t>2009-03-28</t>
        </is>
      </c>
      <c r="W343" t="inlineStr">
        <is>
          <t>1997-09-09</t>
        </is>
      </c>
      <c r="X343" t="inlineStr">
        <is>
          <t>1997-09-09</t>
        </is>
      </c>
      <c r="Y343" t="n">
        <v>926</v>
      </c>
      <c r="Z343" t="n">
        <v>800</v>
      </c>
      <c r="AA343" t="n">
        <v>805</v>
      </c>
      <c r="AB343" t="n">
        <v>7</v>
      </c>
      <c r="AC343" t="n">
        <v>7</v>
      </c>
      <c r="AD343" t="n">
        <v>38</v>
      </c>
      <c r="AE343" t="n">
        <v>38</v>
      </c>
      <c r="AF343" t="n">
        <v>15</v>
      </c>
      <c r="AG343" t="n">
        <v>15</v>
      </c>
      <c r="AH343" t="n">
        <v>9</v>
      </c>
      <c r="AI343" t="n">
        <v>9</v>
      </c>
      <c r="AJ343" t="n">
        <v>19</v>
      </c>
      <c r="AK343" t="n">
        <v>19</v>
      </c>
      <c r="AL343" t="n">
        <v>6</v>
      </c>
      <c r="AM343" t="n">
        <v>6</v>
      </c>
      <c r="AN343" t="n">
        <v>0</v>
      </c>
      <c r="AO343" t="n">
        <v>0</v>
      </c>
      <c r="AP343" t="inlineStr">
        <is>
          <t>No</t>
        </is>
      </c>
      <c r="AQ343" t="inlineStr">
        <is>
          <t>No</t>
        </is>
      </c>
      <c r="AS343">
        <f>HYPERLINK("https://creighton-primo.hosted.exlibrisgroup.com/primo-explore/search?tab=default_tab&amp;search_scope=EVERYTHING&amp;vid=01CRU&amp;lang=en_US&amp;offset=0&amp;query=any,contains,991000926919702656","Catalog Record")</f>
        <v/>
      </c>
      <c r="AT343">
        <f>HYPERLINK("http://www.worldcat.org/oclc/163697","WorldCat Record")</f>
        <v/>
      </c>
      <c r="AU343" t="inlineStr">
        <is>
          <t>1276286:eng</t>
        </is>
      </c>
      <c r="AV343" t="inlineStr">
        <is>
          <t>163697</t>
        </is>
      </c>
      <c r="AW343" t="inlineStr">
        <is>
          <t>991000926919702656</t>
        </is>
      </c>
      <c r="AX343" t="inlineStr">
        <is>
          <t>991000926919702656</t>
        </is>
      </c>
      <c r="AY343" t="inlineStr">
        <is>
          <t>2272138730002656</t>
        </is>
      </c>
      <c r="AZ343" t="inlineStr">
        <is>
          <t>BOOK</t>
        </is>
      </c>
      <c r="BB343" t="inlineStr">
        <is>
          <t>9780814773536</t>
        </is>
      </c>
      <c r="BC343" t="inlineStr">
        <is>
          <t>32285003220323</t>
        </is>
      </c>
      <c r="BD343" t="inlineStr">
        <is>
          <t>893683859</t>
        </is>
      </c>
    </row>
    <row r="344">
      <c r="A344" t="inlineStr">
        <is>
          <t>No</t>
        </is>
      </c>
      <c r="B344" t="inlineStr">
        <is>
          <t>PG3476.P27 D715</t>
        </is>
      </c>
      <c r="C344" t="inlineStr">
        <is>
          <t>0                      PG 3476000P  27                 D  715</t>
        </is>
      </c>
      <c r="D344" t="inlineStr">
        <is>
          <t>Pasternak's Doctor Zhivago / [by] Mary F. Rowland and Paul Rowland. With a pref. by Harry T. Moore.</t>
        </is>
      </c>
      <c r="F344" t="inlineStr">
        <is>
          <t>No</t>
        </is>
      </c>
      <c r="G344" t="inlineStr">
        <is>
          <t>1</t>
        </is>
      </c>
      <c r="H344" t="inlineStr">
        <is>
          <t>No</t>
        </is>
      </c>
      <c r="I344" t="inlineStr">
        <is>
          <t>No</t>
        </is>
      </c>
      <c r="J344" t="inlineStr">
        <is>
          <t>0</t>
        </is>
      </c>
      <c r="K344" t="inlineStr">
        <is>
          <t>Rowland, Mary F., 1903-1979.</t>
        </is>
      </c>
      <c r="L344" t="inlineStr">
        <is>
          <t>Carbondale : Southern Illinois University Press, [1967]</t>
        </is>
      </c>
      <c r="M344" t="inlineStr">
        <is>
          <t>1967</t>
        </is>
      </c>
      <c r="O344" t="inlineStr">
        <is>
          <t>eng</t>
        </is>
      </c>
      <c r="P344" t="inlineStr">
        <is>
          <t>ilu</t>
        </is>
      </c>
      <c r="Q344" t="inlineStr">
        <is>
          <t>Crosscurrents/modern critiques</t>
        </is>
      </c>
      <c r="R344" t="inlineStr">
        <is>
          <t xml:space="preserve">PG </t>
        </is>
      </c>
      <c r="S344" t="n">
        <v>7</v>
      </c>
      <c r="T344" t="n">
        <v>7</v>
      </c>
      <c r="U344" t="inlineStr">
        <is>
          <t>2005-03-28</t>
        </is>
      </c>
      <c r="V344" t="inlineStr">
        <is>
          <t>2005-03-28</t>
        </is>
      </c>
      <c r="W344" t="inlineStr">
        <is>
          <t>1991-12-13</t>
        </is>
      </c>
      <c r="X344" t="inlineStr">
        <is>
          <t>1991-12-13</t>
        </is>
      </c>
      <c r="Y344" t="n">
        <v>956</v>
      </c>
      <c r="Z344" t="n">
        <v>866</v>
      </c>
      <c r="AA344" t="n">
        <v>890</v>
      </c>
      <c r="AB344" t="n">
        <v>6</v>
      </c>
      <c r="AC344" t="n">
        <v>6</v>
      </c>
      <c r="AD344" t="n">
        <v>33</v>
      </c>
      <c r="AE344" t="n">
        <v>35</v>
      </c>
      <c r="AF344" t="n">
        <v>15</v>
      </c>
      <c r="AG344" t="n">
        <v>16</v>
      </c>
      <c r="AH344" t="n">
        <v>6</v>
      </c>
      <c r="AI344" t="n">
        <v>7</v>
      </c>
      <c r="AJ344" t="n">
        <v>17</v>
      </c>
      <c r="AK344" t="n">
        <v>19</v>
      </c>
      <c r="AL344" t="n">
        <v>4</v>
      </c>
      <c r="AM344" t="n">
        <v>4</v>
      </c>
      <c r="AN344" t="n">
        <v>0</v>
      </c>
      <c r="AO344" t="n">
        <v>0</v>
      </c>
      <c r="AP344" t="inlineStr">
        <is>
          <t>No</t>
        </is>
      </c>
      <c r="AQ344" t="inlineStr">
        <is>
          <t>Yes</t>
        </is>
      </c>
      <c r="AR344">
        <f>HYPERLINK("http://catalog.hathitrust.org/Record/001060248","HathiTrust Record")</f>
        <v/>
      </c>
      <c r="AS344">
        <f>HYPERLINK("https://creighton-primo.hosted.exlibrisgroup.com/primo-explore/search?tab=default_tab&amp;search_scope=EVERYTHING&amp;vid=01CRU&amp;lang=en_US&amp;offset=0&amp;query=any,contains,991001094779702656","Catalog Record")</f>
        <v/>
      </c>
      <c r="AT344">
        <f>HYPERLINK("http://www.worldcat.org/oclc/182709","WorldCat Record")</f>
        <v/>
      </c>
      <c r="AU344" t="inlineStr">
        <is>
          <t>466779:eng</t>
        </is>
      </c>
      <c r="AV344" t="inlineStr">
        <is>
          <t>182709</t>
        </is>
      </c>
      <c r="AW344" t="inlineStr">
        <is>
          <t>991001094779702656</t>
        </is>
      </c>
      <c r="AX344" t="inlineStr">
        <is>
          <t>991001094779702656</t>
        </is>
      </c>
      <c r="AY344" t="inlineStr">
        <is>
          <t>2271308380002656</t>
        </is>
      </c>
      <c r="AZ344" t="inlineStr">
        <is>
          <t>BOOK</t>
        </is>
      </c>
      <c r="BC344" t="inlineStr">
        <is>
          <t>32285000877018</t>
        </is>
      </c>
      <c r="BD344" t="inlineStr">
        <is>
          <t>893608544</t>
        </is>
      </c>
    </row>
    <row r="345">
      <c r="A345" t="inlineStr">
        <is>
          <t>No</t>
        </is>
      </c>
      <c r="B345" t="inlineStr">
        <is>
          <t>PG3476.P27 P6 1971</t>
        </is>
      </c>
      <c r="C345" t="inlineStr">
        <is>
          <t>0                      PG 3476000P  27                 P  6           1971</t>
        </is>
      </c>
      <c r="D345" t="inlineStr">
        <is>
          <t>The poems of Doctor Zhivago / translated from the Russian by Eugene M. Kayden. With an introd. by James Morgan. Illustrated by Bill Greer.</t>
        </is>
      </c>
      <c r="F345" t="inlineStr">
        <is>
          <t>No</t>
        </is>
      </c>
      <c r="G345" t="inlineStr">
        <is>
          <t>1</t>
        </is>
      </c>
      <c r="H345" t="inlineStr">
        <is>
          <t>No</t>
        </is>
      </c>
      <c r="I345" t="inlineStr">
        <is>
          <t>No</t>
        </is>
      </c>
      <c r="J345" t="inlineStr">
        <is>
          <t>0</t>
        </is>
      </c>
      <c r="K345" t="inlineStr">
        <is>
          <t>Pasternak, Boris Leonidovich, 1890-1960.</t>
        </is>
      </c>
      <c r="L345" t="inlineStr">
        <is>
          <t>[Kansas City, Mo.] : Hallmark Crown Editions, [c1971]</t>
        </is>
      </c>
      <c r="M345" t="inlineStr">
        <is>
          <t>1971</t>
        </is>
      </c>
      <c r="O345" t="inlineStr">
        <is>
          <t>eng</t>
        </is>
      </c>
      <c r="P345" t="inlineStr">
        <is>
          <t>mou</t>
        </is>
      </c>
      <c r="R345" t="inlineStr">
        <is>
          <t xml:space="preserve">PG </t>
        </is>
      </c>
      <c r="S345" t="n">
        <v>11</v>
      </c>
      <c r="T345" t="n">
        <v>11</v>
      </c>
      <c r="U345" t="inlineStr">
        <is>
          <t>2009-07-27</t>
        </is>
      </c>
      <c r="V345" t="inlineStr">
        <is>
          <t>2009-07-27</t>
        </is>
      </c>
      <c r="W345" t="inlineStr">
        <is>
          <t>1990-07-17</t>
        </is>
      </c>
      <c r="X345" t="inlineStr">
        <is>
          <t>1990-07-17</t>
        </is>
      </c>
      <c r="Y345" t="n">
        <v>160</v>
      </c>
      <c r="Z345" t="n">
        <v>154</v>
      </c>
      <c r="AA345" t="n">
        <v>689</v>
      </c>
      <c r="AB345" t="n">
        <v>1</v>
      </c>
      <c r="AC345" t="n">
        <v>3</v>
      </c>
      <c r="AD345" t="n">
        <v>2</v>
      </c>
      <c r="AE345" t="n">
        <v>17</v>
      </c>
      <c r="AF345" t="n">
        <v>0</v>
      </c>
      <c r="AG345" t="n">
        <v>4</v>
      </c>
      <c r="AH345" t="n">
        <v>1</v>
      </c>
      <c r="AI345" t="n">
        <v>5</v>
      </c>
      <c r="AJ345" t="n">
        <v>2</v>
      </c>
      <c r="AK345" t="n">
        <v>11</v>
      </c>
      <c r="AL345" t="n">
        <v>0</v>
      </c>
      <c r="AM345" t="n">
        <v>1</v>
      </c>
      <c r="AN345" t="n">
        <v>0</v>
      </c>
      <c r="AO345" t="n">
        <v>0</v>
      </c>
      <c r="AP345" t="inlineStr">
        <is>
          <t>No</t>
        </is>
      </c>
      <c r="AQ345" t="inlineStr">
        <is>
          <t>No</t>
        </is>
      </c>
      <c r="AS345">
        <f>HYPERLINK("https://creighton-primo.hosted.exlibrisgroup.com/primo-explore/search?tab=default_tab&amp;search_scope=EVERYTHING&amp;vid=01CRU&amp;lang=en_US&amp;offset=0&amp;query=any,contains,991001234829702656","Catalog Record")</f>
        <v/>
      </c>
      <c r="AT345">
        <f>HYPERLINK("http://www.worldcat.org/oclc/205222","WorldCat Record")</f>
        <v/>
      </c>
      <c r="AU345" t="inlineStr">
        <is>
          <t>5617961728:eng</t>
        </is>
      </c>
      <c r="AV345" t="inlineStr">
        <is>
          <t>205222</t>
        </is>
      </c>
      <c r="AW345" t="inlineStr">
        <is>
          <t>991001234829702656</t>
        </is>
      </c>
      <c r="AX345" t="inlineStr">
        <is>
          <t>991001234829702656</t>
        </is>
      </c>
      <c r="AY345" t="inlineStr">
        <is>
          <t>2255376370002656</t>
        </is>
      </c>
      <c r="AZ345" t="inlineStr">
        <is>
          <t>BOOK</t>
        </is>
      </c>
      <c r="BB345" t="inlineStr">
        <is>
          <t>9780875291055</t>
        </is>
      </c>
      <c r="BC345" t="inlineStr">
        <is>
          <t>32285000232511</t>
        </is>
      </c>
      <c r="BD345" t="inlineStr">
        <is>
          <t>893231822</t>
        </is>
      </c>
    </row>
    <row r="346">
      <c r="A346" t="inlineStr">
        <is>
          <t>No</t>
        </is>
      </c>
      <c r="B346" t="inlineStr">
        <is>
          <t>PG3476.P27 P63 1965</t>
        </is>
      </c>
      <c r="C346" t="inlineStr">
        <is>
          <t>0                      PG 3476000P  27                 P  63          1965</t>
        </is>
      </c>
      <c r="D346" t="inlineStr">
        <is>
          <t>The poems of Dr. Zhivago / translated with a commentary by Donald Davie.</t>
        </is>
      </c>
      <c r="F346" t="inlineStr">
        <is>
          <t>No</t>
        </is>
      </c>
      <c r="G346" t="inlineStr">
        <is>
          <t>1</t>
        </is>
      </c>
      <c r="H346" t="inlineStr">
        <is>
          <t>No</t>
        </is>
      </c>
      <c r="I346" t="inlineStr">
        <is>
          <t>No</t>
        </is>
      </c>
      <c r="J346" t="inlineStr">
        <is>
          <t>0</t>
        </is>
      </c>
      <c r="K346" t="inlineStr">
        <is>
          <t>Pasternak, Boris Leonidovich, 1890-1960.</t>
        </is>
      </c>
      <c r="L346" t="inlineStr">
        <is>
          <t>Manchester : University Press ; New York : Barnes &amp; Noble, [1965]</t>
        </is>
      </c>
      <c r="M346" t="inlineStr">
        <is>
          <t>1965</t>
        </is>
      </c>
      <c r="O346" t="inlineStr">
        <is>
          <t>eng</t>
        </is>
      </c>
      <c r="P346" t="inlineStr">
        <is>
          <t>enk</t>
        </is>
      </c>
      <c r="R346" t="inlineStr">
        <is>
          <t xml:space="preserve">PG </t>
        </is>
      </c>
      <c r="S346" t="n">
        <v>1</v>
      </c>
      <c r="T346" t="n">
        <v>1</v>
      </c>
      <c r="U346" t="inlineStr">
        <is>
          <t>1998-07-09</t>
        </is>
      </c>
      <c r="V346" t="inlineStr">
        <is>
          <t>1998-07-09</t>
        </is>
      </c>
      <c r="W346" t="inlineStr">
        <is>
          <t>1991-12-10</t>
        </is>
      </c>
      <c r="X346" t="inlineStr">
        <is>
          <t>1991-12-10</t>
        </is>
      </c>
      <c r="Y346" t="n">
        <v>572</v>
      </c>
      <c r="Z346" t="n">
        <v>486</v>
      </c>
      <c r="AA346" t="n">
        <v>572</v>
      </c>
      <c r="AB346" t="n">
        <v>4</v>
      </c>
      <c r="AC346" t="n">
        <v>4</v>
      </c>
      <c r="AD346" t="n">
        <v>21</v>
      </c>
      <c r="AE346" t="n">
        <v>26</v>
      </c>
      <c r="AF346" t="n">
        <v>8</v>
      </c>
      <c r="AG346" t="n">
        <v>10</v>
      </c>
      <c r="AH346" t="n">
        <v>5</v>
      </c>
      <c r="AI346" t="n">
        <v>6</v>
      </c>
      <c r="AJ346" t="n">
        <v>10</v>
      </c>
      <c r="AK346" t="n">
        <v>14</v>
      </c>
      <c r="AL346" t="n">
        <v>3</v>
      </c>
      <c r="AM346" t="n">
        <v>3</v>
      </c>
      <c r="AN346" t="n">
        <v>0</v>
      </c>
      <c r="AO346" t="n">
        <v>0</v>
      </c>
      <c r="AP346" t="inlineStr">
        <is>
          <t>No</t>
        </is>
      </c>
      <c r="AQ346" t="inlineStr">
        <is>
          <t>Yes</t>
        </is>
      </c>
      <c r="AR346">
        <f>HYPERLINK("http://catalog.hathitrust.org/Record/001110452","HathiTrust Record")</f>
        <v/>
      </c>
      <c r="AS346">
        <f>HYPERLINK("https://creighton-primo.hosted.exlibrisgroup.com/primo-explore/search?tab=default_tab&amp;search_scope=EVERYTHING&amp;vid=01CRU&amp;lang=en_US&amp;offset=0&amp;query=any,contains,991002328229702656","Catalog Record")</f>
        <v/>
      </c>
      <c r="AT346">
        <f>HYPERLINK("http://www.worldcat.org/oclc/321536","WorldCat Record")</f>
        <v/>
      </c>
      <c r="AU346" t="inlineStr">
        <is>
          <t>3856121607:eng</t>
        </is>
      </c>
      <c r="AV346" t="inlineStr">
        <is>
          <t>321536</t>
        </is>
      </c>
      <c r="AW346" t="inlineStr">
        <is>
          <t>991002328229702656</t>
        </is>
      </c>
      <c r="AX346" t="inlineStr">
        <is>
          <t>991002328229702656</t>
        </is>
      </c>
      <c r="AY346" t="inlineStr">
        <is>
          <t>2255755050002656</t>
        </is>
      </c>
      <c r="AZ346" t="inlineStr">
        <is>
          <t>BOOK</t>
        </is>
      </c>
      <c r="BC346" t="inlineStr">
        <is>
          <t>32285000875285</t>
        </is>
      </c>
      <c r="BD346" t="inlineStr">
        <is>
          <t>893809432</t>
        </is>
      </c>
    </row>
    <row r="347">
      <c r="A347" t="inlineStr">
        <is>
          <t>No</t>
        </is>
      </c>
      <c r="B347" t="inlineStr">
        <is>
          <t>PG3476.P27 Z54 1968b</t>
        </is>
      </c>
      <c r="C347" t="inlineStr">
        <is>
          <t>0                      PG 3476000P  27                 Z  54          1968b</t>
        </is>
      </c>
      <c r="D347" t="inlineStr">
        <is>
          <t>Letters to Georgian friends [by] Boris Pasternak; translated from the Russian with an introduction and notes by David Magarshack.</t>
        </is>
      </c>
      <c r="F347" t="inlineStr">
        <is>
          <t>No</t>
        </is>
      </c>
      <c r="G347" t="inlineStr">
        <is>
          <t>1</t>
        </is>
      </c>
      <c r="H347" t="inlineStr">
        <is>
          <t>No</t>
        </is>
      </c>
      <c r="I347" t="inlineStr">
        <is>
          <t>No</t>
        </is>
      </c>
      <c r="J347" t="inlineStr">
        <is>
          <t>0</t>
        </is>
      </c>
      <c r="K347" t="inlineStr">
        <is>
          <t>Pasternak, Boris Leonidovich, 1890-1960.</t>
        </is>
      </c>
      <c r="L347" t="inlineStr">
        <is>
          <t>London, Secker &amp; Warburg, 1968.</t>
        </is>
      </c>
      <c r="M347" t="inlineStr">
        <is>
          <t>1968</t>
        </is>
      </c>
      <c r="O347" t="inlineStr">
        <is>
          <t>eng</t>
        </is>
      </c>
      <c r="P347" t="inlineStr">
        <is>
          <t>enk</t>
        </is>
      </c>
      <c r="R347" t="inlineStr">
        <is>
          <t xml:space="preserve">PG </t>
        </is>
      </c>
      <c r="S347" t="n">
        <v>1</v>
      </c>
      <c r="T347" t="n">
        <v>1</v>
      </c>
      <c r="U347" t="inlineStr">
        <is>
          <t>1998-07-09</t>
        </is>
      </c>
      <c r="V347" t="inlineStr">
        <is>
          <t>1998-07-09</t>
        </is>
      </c>
      <c r="W347" t="inlineStr">
        <is>
          <t>1997-09-09</t>
        </is>
      </c>
      <c r="X347" t="inlineStr">
        <is>
          <t>1997-09-09</t>
        </is>
      </c>
      <c r="Y347" t="n">
        <v>193</v>
      </c>
      <c r="Z347" t="n">
        <v>88</v>
      </c>
      <c r="AA347" t="n">
        <v>607</v>
      </c>
      <c r="AB347" t="n">
        <v>3</v>
      </c>
      <c r="AC347" t="n">
        <v>6</v>
      </c>
      <c r="AD347" t="n">
        <v>6</v>
      </c>
      <c r="AE347" t="n">
        <v>23</v>
      </c>
      <c r="AF347" t="n">
        <v>3</v>
      </c>
      <c r="AG347" t="n">
        <v>6</v>
      </c>
      <c r="AH347" t="n">
        <v>1</v>
      </c>
      <c r="AI347" t="n">
        <v>8</v>
      </c>
      <c r="AJ347" t="n">
        <v>2</v>
      </c>
      <c r="AK347" t="n">
        <v>12</v>
      </c>
      <c r="AL347" t="n">
        <v>2</v>
      </c>
      <c r="AM347" t="n">
        <v>4</v>
      </c>
      <c r="AN347" t="n">
        <v>0</v>
      </c>
      <c r="AO347" t="n">
        <v>0</v>
      </c>
      <c r="AP347" t="inlineStr">
        <is>
          <t>No</t>
        </is>
      </c>
      <c r="AQ347" t="inlineStr">
        <is>
          <t>Yes</t>
        </is>
      </c>
      <c r="AR347">
        <f>HYPERLINK("http://catalog.hathitrust.org/Record/001060250","HathiTrust Record")</f>
        <v/>
      </c>
      <c r="AS347">
        <f>HYPERLINK("https://creighton-primo.hosted.exlibrisgroup.com/primo-explore/search?tab=default_tab&amp;search_scope=EVERYTHING&amp;vid=01CRU&amp;lang=en_US&amp;offset=0&amp;query=any,contains,991002817349702656","Catalog Record")</f>
        <v/>
      </c>
      <c r="AT347">
        <f>HYPERLINK("http://www.worldcat.org/oclc/462059","WorldCat Record")</f>
        <v/>
      </c>
      <c r="AU347" t="inlineStr">
        <is>
          <t>33194796:eng</t>
        </is>
      </c>
      <c r="AV347" t="inlineStr">
        <is>
          <t>462059</t>
        </is>
      </c>
      <c r="AW347" t="inlineStr">
        <is>
          <t>991002817349702656</t>
        </is>
      </c>
      <c r="AX347" t="inlineStr">
        <is>
          <t>991002817349702656</t>
        </is>
      </c>
      <c r="AY347" t="inlineStr">
        <is>
          <t>2261521620002656</t>
        </is>
      </c>
      <c r="AZ347" t="inlineStr">
        <is>
          <t>BOOK</t>
        </is>
      </c>
      <c r="BB347" t="inlineStr">
        <is>
          <t>9780436363504</t>
        </is>
      </c>
      <c r="BC347" t="inlineStr">
        <is>
          <t>32285003220372</t>
        </is>
      </c>
      <c r="BD347" t="inlineStr">
        <is>
          <t>893227315</t>
        </is>
      </c>
    </row>
    <row r="348">
      <c r="A348" t="inlineStr">
        <is>
          <t>No</t>
        </is>
      </c>
      <c r="B348" t="inlineStr">
        <is>
          <t>PG3476.P27 Z674</t>
        </is>
      </c>
      <c r="C348" t="inlineStr">
        <is>
          <t>0                      PG 3476000P  27                 Z  674</t>
        </is>
      </c>
      <c r="D348" t="inlineStr">
        <is>
          <t>Boris Pasternak / by J. W. Dyck.</t>
        </is>
      </c>
      <c r="F348" t="inlineStr">
        <is>
          <t>No</t>
        </is>
      </c>
      <c r="G348" t="inlineStr">
        <is>
          <t>1</t>
        </is>
      </c>
      <c r="H348" t="inlineStr">
        <is>
          <t>No</t>
        </is>
      </c>
      <c r="I348" t="inlineStr">
        <is>
          <t>No</t>
        </is>
      </c>
      <c r="J348" t="inlineStr">
        <is>
          <t>0</t>
        </is>
      </c>
      <c r="K348" t="inlineStr">
        <is>
          <t>Dyck, J. W.</t>
        </is>
      </c>
      <c r="L348" t="inlineStr">
        <is>
          <t>New York : Twayne Publishers, [1972]</t>
        </is>
      </c>
      <c r="M348" t="inlineStr">
        <is>
          <t>1972</t>
        </is>
      </c>
      <c r="O348" t="inlineStr">
        <is>
          <t>eng</t>
        </is>
      </c>
      <c r="P348" t="inlineStr">
        <is>
          <t>nyu</t>
        </is>
      </c>
      <c r="Q348" t="inlineStr">
        <is>
          <t>Twayne's world authors series, TWAS 225. Soviet Union literature</t>
        </is>
      </c>
      <c r="R348" t="inlineStr">
        <is>
          <t xml:space="preserve">PG </t>
        </is>
      </c>
      <c r="S348" t="n">
        <v>1</v>
      </c>
      <c r="T348" t="n">
        <v>1</v>
      </c>
      <c r="U348" t="inlineStr">
        <is>
          <t>1998-07-09</t>
        </is>
      </c>
      <c r="V348" t="inlineStr">
        <is>
          <t>1998-07-09</t>
        </is>
      </c>
      <c r="W348" t="inlineStr">
        <is>
          <t>1997-09-09</t>
        </is>
      </c>
      <c r="X348" t="inlineStr">
        <is>
          <t>1997-09-09</t>
        </is>
      </c>
      <c r="Y348" t="n">
        <v>1093</v>
      </c>
      <c r="Z348" t="n">
        <v>1001</v>
      </c>
      <c r="AA348" t="n">
        <v>1152</v>
      </c>
      <c r="AB348" t="n">
        <v>8</v>
      </c>
      <c r="AC348" t="n">
        <v>8</v>
      </c>
      <c r="AD348" t="n">
        <v>29</v>
      </c>
      <c r="AE348" t="n">
        <v>33</v>
      </c>
      <c r="AF348" t="n">
        <v>11</v>
      </c>
      <c r="AG348" t="n">
        <v>14</v>
      </c>
      <c r="AH348" t="n">
        <v>5</v>
      </c>
      <c r="AI348" t="n">
        <v>5</v>
      </c>
      <c r="AJ348" t="n">
        <v>13</v>
      </c>
      <c r="AK348" t="n">
        <v>16</v>
      </c>
      <c r="AL348" t="n">
        <v>6</v>
      </c>
      <c r="AM348" t="n">
        <v>6</v>
      </c>
      <c r="AN348" t="n">
        <v>0</v>
      </c>
      <c r="AO348" t="n">
        <v>0</v>
      </c>
      <c r="AP348" t="inlineStr">
        <is>
          <t>No</t>
        </is>
      </c>
      <c r="AQ348" t="inlineStr">
        <is>
          <t>Yes</t>
        </is>
      </c>
      <c r="AR348">
        <f>HYPERLINK("http://catalog.hathitrust.org/Record/001060254","HathiTrust Record")</f>
        <v/>
      </c>
      <c r="AS348">
        <f>HYPERLINK("https://creighton-primo.hosted.exlibrisgroup.com/primo-explore/search?tab=default_tab&amp;search_scope=EVERYTHING&amp;vid=01CRU&amp;lang=en_US&amp;offset=0&amp;query=any,contains,991002855559702656","Catalog Record")</f>
        <v/>
      </c>
      <c r="AT348">
        <f>HYPERLINK("http://www.worldcat.org/oclc/489542","WorldCat Record")</f>
        <v/>
      </c>
      <c r="AU348" t="inlineStr">
        <is>
          <t>461421:eng</t>
        </is>
      </c>
      <c r="AV348" t="inlineStr">
        <is>
          <t>489542</t>
        </is>
      </c>
      <c r="AW348" t="inlineStr">
        <is>
          <t>991002855559702656</t>
        </is>
      </c>
      <c r="AX348" t="inlineStr">
        <is>
          <t>991002855559702656</t>
        </is>
      </c>
      <c r="AY348" t="inlineStr">
        <is>
          <t>2255532130002656</t>
        </is>
      </c>
      <c r="AZ348" t="inlineStr">
        <is>
          <t>BOOK</t>
        </is>
      </c>
      <c r="BC348" t="inlineStr">
        <is>
          <t>32285003220380</t>
        </is>
      </c>
      <c r="BD348" t="inlineStr">
        <is>
          <t>893517839</t>
        </is>
      </c>
    </row>
    <row r="349">
      <c r="A349" t="inlineStr">
        <is>
          <t>No</t>
        </is>
      </c>
      <c r="B349" t="inlineStr">
        <is>
          <t>PG3476.P27 Z736 1981</t>
        </is>
      </c>
      <c r="C349" t="inlineStr">
        <is>
          <t>0                      PG 3476000P  27                 Z  736         1981</t>
        </is>
      </c>
      <c r="D349" t="inlineStr">
        <is>
          <t>Boris Pasternak, his life and art / by Guy de Mallac ; foreword by Rimvydas Šilbajoris.</t>
        </is>
      </c>
      <c r="F349" t="inlineStr">
        <is>
          <t>No</t>
        </is>
      </c>
      <c r="G349" t="inlineStr">
        <is>
          <t>1</t>
        </is>
      </c>
      <c r="H349" t="inlineStr">
        <is>
          <t>No</t>
        </is>
      </c>
      <c r="I349" t="inlineStr">
        <is>
          <t>No</t>
        </is>
      </c>
      <c r="J349" t="inlineStr">
        <is>
          <t>0</t>
        </is>
      </c>
      <c r="K349" t="inlineStr">
        <is>
          <t>Mallac, Guy de, 1936-</t>
        </is>
      </c>
      <c r="L349" t="inlineStr">
        <is>
          <t>Norman : University of Oklahoma Press, c1981.</t>
        </is>
      </c>
      <c r="M349" t="inlineStr">
        <is>
          <t>1981</t>
        </is>
      </c>
      <c r="N349" t="inlineStr">
        <is>
          <t>1st ed.</t>
        </is>
      </c>
      <c r="O349" t="inlineStr">
        <is>
          <t>eng</t>
        </is>
      </c>
      <c r="P349" t="inlineStr">
        <is>
          <t>oku</t>
        </is>
      </c>
      <c r="R349" t="inlineStr">
        <is>
          <t xml:space="preserve">PG </t>
        </is>
      </c>
      <c r="S349" t="n">
        <v>5</v>
      </c>
      <c r="T349" t="n">
        <v>5</v>
      </c>
      <c r="U349" t="inlineStr">
        <is>
          <t>1998-09-28</t>
        </is>
      </c>
      <c r="V349" t="inlineStr">
        <is>
          <t>1998-09-28</t>
        </is>
      </c>
      <c r="W349" t="inlineStr">
        <is>
          <t>1993-04-28</t>
        </is>
      </c>
      <c r="X349" t="inlineStr">
        <is>
          <t>1993-04-28</t>
        </is>
      </c>
      <c r="Y349" t="n">
        <v>1031</v>
      </c>
      <c r="Z349" t="n">
        <v>926</v>
      </c>
      <c r="AA349" t="n">
        <v>951</v>
      </c>
      <c r="AB349" t="n">
        <v>6</v>
      </c>
      <c r="AC349" t="n">
        <v>6</v>
      </c>
      <c r="AD349" t="n">
        <v>34</v>
      </c>
      <c r="AE349" t="n">
        <v>35</v>
      </c>
      <c r="AF349" t="n">
        <v>17</v>
      </c>
      <c r="AG349" t="n">
        <v>18</v>
      </c>
      <c r="AH349" t="n">
        <v>8</v>
      </c>
      <c r="AI349" t="n">
        <v>8</v>
      </c>
      <c r="AJ349" t="n">
        <v>14</v>
      </c>
      <c r="AK349" t="n">
        <v>15</v>
      </c>
      <c r="AL349" t="n">
        <v>4</v>
      </c>
      <c r="AM349" t="n">
        <v>4</v>
      </c>
      <c r="AN349" t="n">
        <v>0</v>
      </c>
      <c r="AO349" t="n">
        <v>0</v>
      </c>
      <c r="AP349" t="inlineStr">
        <is>
          <t>No</t>
        </is>
      </c>
      <c r="AQ349" t="inlineStr">
        <is>
          <t>No</t>
        </is>
      </c>
      <c r="AS349">
        <f>HYPERLINK("https://creighton-primo.hosted.exlibrisgroup.com/primo-explore/search?tab=default_tab&amp;search_scope=EVERYTHING&amp;vid=01CRU&amp;lang=en_US&amp;offset=0&amp;query=any,contains,991005102419702656","Catalog Record")</f>
        <v/>
      </c>
      <c r="AT349">
        <f>HYPERLINK("http://www.worldcat.org/oclc/7306238","WorldCat Record")</f>
        <v/>
      </c>
      <c r="AU349" t="inlineStr">
        <is>
          <t>462210:eng</t>
        </is>
      </c>
      <c r="AV349" t="inlineStr">
        <is>
          <t>7306238</t>
        </is>
      </c>
      <c r="AW349" t="inlineStr">
        <is>
          <t>991005102419702656</t>
        </is>
      </c>
      <c r="AX349" t="inlineStr">
        <is>
          <t>991005102419702656</t>
        </is>
      </c>
      <c r="AY349" t="inlineStr">
        <is>
          <t>2257852570002656</t>
        </is>
      </c>
      <c r="AZ349" t="inlineStr">
        <is>
          <t>BOOK</t>
        </is>
      </c>
      <c r="BB349" t="inlineStr">
        <is>
          <t>9780806116600</t>
        </is>
      </c>
      <c r="BC349" t="inlineStr">
        <is>
          <t>32285001649689</t>
        </is>
      </c>
      <c r="BD349" t="inlineStr">
        <is>
          <t>893905231</t>
        </is>
      </c>
    </row>
    <row r="350">
      <c r="A350" t="inlineStr">
        <is>
          <t>No</t>
        </is>
      </c>
      <c r="B350" t="inlineStr">
        <is>
          <t>PG3476.P578 S7</t>
        </is>
      </c>
      <c r="C350" t="inlineStr">
        <is>
          <t>0                      PG 3476000P  578                S  7</t>
        </is>
      </c>
      <c r="D350" t="inlineStr">
        <is>
          <t>A story about a real man [by] Boris Polevoi. [Translated from the Russian by J. Fineberg].</t>
        </is>
      </c>
      <c r="F350" t="inlineStr">
        <is>
          <t>No</t>
        </is>
      </c>
      <c r="G350" t="inlineStr">
        <is>
          <t>1</t>
        </is>
      </c>
      <c r="H350" t="inlineStr">
        <is>
          <t>No</t>
        </is>
      </c>
      <c r="I350" t="inlineStr">
        <is>
          <t>No</t>
        </is>
      </c>
      <c r="J350" t="inlineStr">
        <is>
          <t>0</t>
        </is>
      </c>
      <c r="K350" t="inlineStr">
        <is>
          <t>Polevoĭ, Boris.</t>
        </is>
      </c>
      <c r="L350" t="inlineStr">
        <is>
          <t>Westport, Conn., Greenwood Press [1970]</t>
        </is>
      </c>
      <c r="M350" t="inlineStr">
        <is>
          <t>1970</t>
        </is>
      </c>
      <c r="O350" t="inlineStr">
        <is>
          <t>eng</t>
        </is>
      </c>
      <c r="P350" t="inlineStr">
        <is>
          <t>ctu</t>
        </is>
      </c>
      <c r="Q350" t="inlineStr">
        <is>
          <t>Library of selected Soviet literature</t>
        </is>
      </c>
      <c r="R350" t="inlineStr">
        <is>
          <t xml:space="preserve">PG </t>
        </is>
      </c>
      <c r="S350" t="n">
        <v>2</v>
      </c>
      <c r="T350" t="n">
        <v>2</v>
      </c>
      <c r="U350" t="inlineStr">
        <is>
          <t>2003-03-18</t>
        </is>
      </c>
      <c r="V350" t="inlineStr">
        <is>
          <t>2003-03-18</t>
        </is>
      </c>
      <c r="W350" t="inlineStr">
        <is>
          <t>1997-09-09</t>
        </is>
      </c>
      <c r="X350" t="inlineStr">
        <is>
          <t>1997-09-09</t>
        </is>
      </c>
      <c r="Y350" t="n">
        <v>111</v>
      </c>
      <c r="Z350" t="n">
        <v>106</v>
      </c>
      <c r="AA350" t="n">
        <v>313</v>
      </c>
      <c r="AB350" t="n">
        <v>2</v>
      </c>
      <c r="AC350" t="n">
        <v>3</v>
      </c>
      <c r="AD350" t="n">
        <v>5</v>
      </c>
      <c r="AE350" t="n">
        <v>15</v>
      </c>
      <c r="AF350" t="n">
        <v>1</v>
      </c>
      <c r="AG350" t="n">
        <v>4</v>
      </c>
      <c r="AH350" t="n">
        <v>3</v>
      </c>
      <c r="AI350" t="n">
        <v>5</v>
      </c>
      <c r="AJ350" t="n">
        <v>3</v>
      </c>
      <c r="AK350" t="n">
        <v>9</v>
      </c>
      <c r="AL350" t="n">
        <v>1</v>
      </c>
      <c r="AM350" t="n">
        <v>2</v>
      </c>
      <c r="AN350" t="n">
        <v>0</v>
      </c>
      <c r="AO350" t="n">
        <v>0</v>
      </c>
      <c r="AP350" t="inlineStr">
        <is>
          <t>No</t>
        </is>
      </c>
      <c r="AQ350" t="inlineStr">
        <is>
          <t>Yes</t>
        </is>
      </c>
      <c r="AR350">
        <f>HYPERLINK("http://catalog.hathitrust.org/Record/009507826","HathiTrust Record")</f>
        <v/>
      </c>
      <c r="AS350">
        <f>HYPERLINK("https://creighton-primo.hosted.exlibrisgroup.com/primo-explore/search?tab=default_tab&amp;search_scope=EVERYTHING&amp;vid=01CRU&amp;lang=en_US&amp;offset=0&amp;query=any,contains,991002296169702656","Catalog Record")</f>
        <v/>
      </c>
      <c r="AT350">
        <f>HYPERLINK("http://www.worldcat.org/oclc/315534","WorldCat Record")</f>
        <v/>
      </c>
      <c r="AU350" t="inlineStr">
        <is>
          <t>2829685480:eng</t>
        </is>
      </c>
      <c r="AV350" t="inlineStr">
        <is>
          <t>315534</t>
        </is>
      </c>
      <c r="AW350" t="inlineStr">
        <is>
          <t>991002296169702656</t>
        </is>
      </c>
      <c r="AX350" t="inlineStr">
        <is>
          <t>991002296169702656</t>
        </is>
      </c>
      <c r="AY350" t="inlineStr">
        <is>
          <t>2268818470002656</t>
        </is>
      </c>
      <c r="AZ350" t="inlineStr">
        <is>
          <t>BOOK</t>
        </is>
      </c>
      <c r="BB350" t="inlineStr">
        <is>
          <t>9780837139937</t>
        </is>
      </c>
      <c r="BC350" t="inlineStr">
        <is>
          <t>32285003220406</t>
        </is>
      </c>
      <c r="BD350" t="inlineStr">
        <is>
          <t>893886086</t>
        </is>
      </c>
    </row>
    <row r="351">
      <c r="A351" t="inlineStr">
        <is>
          <t>No</t>
        </is>
      </c>
      <c r="B351" t="inlineStr">
        <is>
          <t>PG3476.R34 K8 1971</t>
        </is>
      </c>
      <c r="C351" t="inlineStr">
        <is>
          <t>0                      PG 3476000R  34                 K  8           1971</t>
        </is>
      </c>
      <c r="D351" t="inlineStr">
        <is>
          <t>Kutuzov : Roman.</t>
        </is>
      </c>
      <c r="F351" t="inlineStr">
        <is>
          <t>No</t>
        </is>
      </c>
      <c r="G351" t="inlineStr">
        <is>
          <t>1</t>
        </is>
      </c>
      <c r="H351" t="inlineStr">
        <is>
          <t>No</t>
        </is>
      </c>
      <c r="I351" t="inlineStr">
        <is>
          <t>No</t>
        </is>
      </c>
      <c r="J351" t="inlineStr">
        <is>
          <t>0</t>
        </is>
      </c>
      <c r="K351" t="inlineStr">
        <is>
          <t>Rakovskiĭ, L. (Leontiĭ), 1896-1979.</t>
        </is>
      </c>
      <c r="L351" t="inlineStr">
        <is>
          <t>Leningrad, Lenizdat, 1971.</t>
        </is>
      </c>
      <c r="M351" t="inlineStr">
        <is>
          <t>1971</t>
        </is>
      </c>
      <c r="O351" t="inlineStr">
        <is>
          <t>rus</t>
        </is>
      </c>
      <c r="P351" t="inlineStr">
        <is>
          <t xml:space="preserve">ru </t>
        </is>
      </c>
      <c r="R351" t="inlineStr">
        <is>
          <t xml:space="preserve">PG </t>
        </is>
      </c>
      <c r="S351" t="n">
        <v>4</v>
      </c>
      <c r="T351" t="n">
        <v>4</v>
      </c>
      <c r="U351" t="inlineStr">
        <is>
          <t>1999-11-04</t>
        </is>
      </c>
      <c r="V351" t="inlineStr">
        <is>
          <t>1999-11-04</t>
        </is>
      </c>
      <c r="W351" t="inlineStr">
        <is>
          <t>1997-09-08</t>
        </is>
      </c>
      <c r="X351" t="inlineStr">
        <is>
          <t>1997-09-08</t>
        </is>
      </c>
      <c r="Y351" t="n">
        <v>22</v>
      </c>
      <c r="Z351" t="n">
        <v>20</v>
      </c>
      <c r="AA351" t="n">
        <v>63</v>
      </c>
      <c r="AB351" t="n">
        <v>1</v>
      </c>
      <c r="AC351" t="n">
        <v>1</v>
      </c>
      <c r="AD351" t="n">
        <v>0</v>
      </c>
      <c r="AE351" t="n">
        <v>1</v>
      </c>
      <c r="AF351" t="n">
        <v>0</v>
      </c>
      <c r="AG351" t="n">
        <v>1</v>
      </c>
      <c r="AH351" t="n">
        <v>0</v>
      </c>
      <c r="AI351" t="n">
        <v>0</v>
      </c>
      <c r="AJ351" t="n">
        <v>0</v>
      </c>
      <c r="AK351" t="n">
        <v>0</v>
      </c>
      <c r="AL351" t="n">
        <v>0</v>
      </c>
      <c r="AM351" t="n">
        <v>0</v>
      </c>
      <c r="AN351" t="n">
        <v>0</v>
      </c>
      <c r="AO351" t="n">
        <v>0</v>
      </c>
      <c r="AP351" t="inlineStr">
        <is>
          <t>No</t>
        </is>
      </c>
      <c r="AQ351" t="inlineStr">
        <is>
          <t>Yes</t>
        </is>
      </c>
      <c r="AR351">
        <f>HYPERLINK("http://catalog.hathitrust.org/Record/009242471","HathiTrust Record")</f>
        <v/>
      </c>
      <c r="AS351">
        <f>HYPERLINK("https://creighton-primo.hosted.exlibrisgroup.com/primo-explore/search?tab=default_tab&amp;search_scope=EVERYTHING&amp;vid=01CRU&amp;lang=en_US&amp;offset=0&amp;query=any,contains,991004747769702656","Catalog Record")</f>
        <v/>
      </c>
      <c r="AT351">
        <f>HYPERLINK("http://www.worldcat.org/oclc/4919435","WorldCat Record")</f>
        <v/>
      </c>
      <c r="AU351" t="inlineStr">
        <is>
          <t>10033532568:rus</t>
        </is>
      </c>
      <c r="AV351" t="inlineStr">
        <is>
          <t>4919435</t>
        </is>
      </c>
      <c r="AW351" t="inlineStr">
        <is>
          <t>991004747769702656</t>
        </is>
      </c>
      <c r="AX351" t="inlineStr">
        <is>
          <t>991004747769702656</t>
        </is>
      </c>
      <c r="AY351" t="inlineStr">
        <is>
          <t>2258602890002656</t>
        </is>
      </c>
      <c r="AZ351" t="inlineStr">
        <is>
          <t>BOOK</t>
        </is>
      </c>
      <c r="BC351" t="inlineStr">
        <is>
          <t>32285003167979</t>
        </is>
      </c>
      <c r="BD351" t="inlineStr">
        <is>
          <t>893247932</t>
        </is>
      </c>
    </row>
    <row r="352">
      <c r="A352" t="inlineStr">
        <is>
          <t>No</t>
        </is>
      </c>
      <c r="B352" t="inlineStr">
        <is>
          <t>PG3476.S488 T713 2002</t>
        </is>
      </c>
      <c r="C352" t="inlineStr">
        <is>
          <t>0                      PG 3476000S  488                T  713         2002</t>
        </is>
      </c>
      <c r="D352" t="inlineStr">
        <is>
          <t>Third factory / Viktor Shklovksy ; introduction and translation by Richard Sheldon ; afterword by Lyn Hejinian.</t>
        </is>
      </c>
      <c r="F352" t="inlineStr">
        <is>
          <t>No</t>
        </is>
      </c>
      <c r="G352" t="inlineStr">
        <is>
          <t>1</t>
        </is>
      </c>
      <c r="H352" t="inlineStr">
        <is>
          <t>No</t>
        </is>
      </c>
      <c r="I352" t="inlineStr">
        <is>
          <t>No</t>
        </is>
      </c>
      <c r="J352" t="inlineStr">
        <is>
          <t>0</t>
        </is>
      </c>
      <c r="K352" t="inlineStr">
        <is>
          <t>Shklovskiĭ, Viktor, 1893-1984.</t>
        </is>
      </c>
      <c r="L352" t="inlineStr">
        <is>
          <t>Chicago : Dalkey Archive Press, 2002.</t>
        </is>
      </c>
      <c r="M352" t="inlineStr">
        <is>
          <t>2002</t>
        </is>
      </c>
      <c r="N352" t="inlineStr">
        <is>
          <t>1st Dalkey Archive ed.</t>
        </is>
      </c>
      <c r="O352" t="inlineStr">
        <is>
          <t>eng</t>
        </is>
      </c>
      <c r="P352" t="inlineStr">
        <is>
          <t>ilu</t>
        </is>
      </c>
      <c r="R352" t="inlineStr">
        <is>
          <t xml:space="preserve">PG </t>
        </is>
      </c>
      <c r="S352" t="n">
        <v>3</v>
      </c>
      <c r="T352" t="n">
        <v>3</v>
      </c>
      <c r="U352" t="inlineStr">
        <is>
          <t>2006-02-06</t>
        </is>
      </c>
      <c r="V352" t="inlineStr">
        <is>
          <t>2006-02-06</t>
        </is>
      </c>
      <c r="W352" t="inlineStr">
        <is>
          <t>2005-04-05</t>
        </is>
      </c>
      <c r="X352" t="inlineStr">
        <is>
          <t>2005-04-05</t>
        </is>
      </c>
      <c r="Y352" t="n">
        <v>182</v>
      </c>
      <c r="Z352" t="n">
        <v>163</v>
      </c>
      <c r="AA352" t="n">
        <v>380</v>
      </c>
      <c r="AB352" t="n">
        <v>3</v>
      </c>
      <c r="AC352" t="n">
        <v>4</v>
      </c>
      <c r="AD352" t="n">
        <v>10</v>
      </c>
      <c r="AE352" t="n">
        <v>20</v>
      </c>
      <c r="AF352" t="n">
        <v>5</v>
      </c>
      <c r="AG352" t="n">
        <v>7</v>
      </c>
      <c r="AH352" t="n">
        <v>2</v>
      </c>
      <c r="AI352" t="n">
        <v>5</v>
      </c>
      <c r="AJ352" t="n">
        <v>2</v>
      </c>
      <c r="AK352" t="n">
        <v>9</v>
      </c>
      <c r="AL352" t="n">
        <v>2</v>
      </c>
      <c r="AM352" t="n">
        <v>3</v>
      </c>
      <c r="AN352" t="n">
        <v>0</v>
      </c>
      <c r="AO352" t="n">
        <v>0</v>
      </c>
      <c r="AP352" t="inlineStr">
        <is>
          <t>No</t>
        </is>
      </c>
      <c r="AQ352" t="inlineStr">
        <is>
          <t>No</t>
        </is>
      </c>
      <c r="AS352">
        <f>HYPERLINK("https://creighton-primo.hosted.exlibrisgroup.com/primo-explore/search?tab=default_tab&amp;search_scope=EVERYTHING&amp;vid=01CRU&amp;lang=en_US&amp;offset=0&amp;query=any,contains,991004505699702656","Catalog Record")</f>
        <v/>
      </c>
      <c r="AT352">
        <f>HYPERLINK("http://www.worldcat.org/oclc/49977296","WorldCat Record")</f>
        <v/>
      </c>
      <c r="AU352" t="inlineStr">
        <is>
          <t>496310200:eng</t>
        </is>
      </c>
      <c r="AV352" t="inlineStr">
        <is>
          <t>49977296</t>
        </is>
      </c>
      <c r="AW352" t="inlineStr">
        <is>
          <t>991004505699702656</t>
        </is>
      </c>
      <c r="AX352" t="inlineStr">
        <is>
          <t>991004505699702656</t>
        </is>
      </c>
      <c r="AY352" t="inlineStr">
        <is>
          <t>2262993640002656</t>
        </is>
      </c>
      <c r="AZ352" t="inlineStr">
        <is>
          <t>BOOK</t>
        </is>
      </c>
      <c r="BB352" t="inlineStr">
        <is>
          <t>9781564783172</t>
        </is>
      </c>
      <c r="BC352" t="inlineStr">
        <is>
          <t>32285005047161</t>
        </is>
      </c>
      <c r="BD352" t="inlineStr">
        <is>
          <t>893782318</t>
        </is>
      </c>
    </row>
    <row r="353">
      <c r="A353" t="inlineStr">
        <is>
          <t>No</t>
        </is>
      </c>
      <c r="B353" t="inlineStr">
        <is>
          <t>PG3476.S52 A5</t>
        </is>
      </c>
      <c r="C353" t="inlineStr">
        <is>
          <t>0                      PG 3476000S  52                 A  5</t>
        </is>
      </c>
      <c r="D353" t="inlineStr">
        <is>
          <t>And quiet flows the Don / by Mikhail Sholokhov; translated from the Russian by Stephen Garry.</t>
        </is>
      </c>
      <c r="F353" t="inlineStr">
        <is>
          <t>No</t>
        </is>
      </c>
      <c r="G353" t="inlineStr">
        <is>
          <t>1</t>
        </is>
      </c>
      <c r="H353" t="inlineStr">
        <is>
          <t>No</t>
        </is>
      </c>
      <c r="I353" t="inlineStr">
        <is>
          <t>Yes</t>
        </is>
      </c>
      <c r="J353" t="inlineStr">
        <is>
          <t>0</t>
        </is>
      </c>
      <c r="K353" t="inlineStr">
        <is>
          <t>Sholokhov, Mikhail Aleksandrovich, 1905-1984.</t>
        </is>
      </c>
      <c r="L353" t="inlineStr">
        <is>
          <t>New York : A.A. Knopf, 1934, 1967 printing.</t>
        </is>
      </c>
      <c r="M353" t="inlineStr">
        <is>
          <t>1934</t>
        </is>
      </c>
      <c r="N353" t="inlineStr">
        <is>
          <t>First American ed.</t>
        </is>
      </c>
      <c r="O353" t="inlineStr">
        <is>
          <t>eng</t>
        </is>
      </c>
      <c r="P353" t="inlineStr">
        <is>
          <t xml:space="preserve">xx </t>
        </is>
      </c>
      <c r="R353" t="inlineStr">
        <is>
          <t xml:space="preserve">PG </t>
        </is>
      </c>
      <c r="S353" t="n">
        <v>3</v>
      </c>
      <c r="T353" t="n">
        <v>3</v>
      </c>
      <c r="U353" t="inlineStr">
        <is>
          <t>2001-04-20</t>
        </is>
      </c>
      <c r="V353" t="inlineStr">
        <is>
          <t>2001-04-20</t>
        </is>
      </c>
      <c r="W353" t="inlineStr">
        <is>
          <t>1992-02-25</t>
        </is>
      </c>
      <c r="X353" t="inlineStr">
        <is>
          <t>1992-02-25</t>
        </is>
      </c>
      <c r="Y353" t="n">
        <v>445</v>
      </c>
      <c r="Z353" t="n">
        <v>424</v>
      </c>
      <c r="AA353" t="n">
        <v>1654</v>
      </c>
      <c r="AB353" t="n">
        <v>6</v>
      </c>
      <c r="AC353" t="n">
        <v>15</v>
      </c>
      <c r="AD353" t="n">
        <v>11</v>
      </c>
      <c r="AE353" t="n">
        <v>44</v>
      </c>
      <c r="AF353" t="n">
        <v>2</v>
      </c>
      <c r="AG353" t="n">
        <v>17</v>
      </c>
      <c r="AH353" t="n">
        <v>3</v>
      </c>
      <c r="AI353" t="n">
        <v>7</v>
      </c>
      <c r="AJ353" t="n">
        <v>4</v>
      </c>
      <c r="AK353" t="n">
        <v>21</v>
      </c>
      <c r="AL353" t="n">
        <v>4</v>
      </c>
      <c r="AM353" t="n">
        <v>9</v>
      </c>
      <c r="AN353" t="n">
        <v>0</v>
      </c>
      <c r="AO353" t="n">
        <v>0</v>
      </c>
      <c r="AP353" t="inlineStr">
        <is>
          <t>No</t>
        </is>
      </c>
      <c r="AQ353" t="inlineStr">
        <is>
          <t>No</t>
        </is>
      </c>
      <c r="AS353">
        <f>HYPERLINK("https://creighton-primo.hosted.exlibrisgroup.com/primo-explore/search?tab=default_tab&amp;search_scope=EVERYTHING&amp;vid=01CRU&amp;lang=en_US&amp;offset=0&amp;query=any,contains,991004249269702656","Catalog Record")</f>
        <v/>
      </c>
      <c r="AT353">
        <f>HYPERLINK("http://www.worldcat.org/oclc/2804467","WorldCat Record")</f>
        <v/>
      </c>
      <c r="AU353" t="inlineStr">
        <is>
          <t>4915923741:eng</t>
        </is>
      </c>
      <c r="AV353" t="inlineStr">
        <is>
          <t>2804467</t>
        </is>
      </c>
      <c r="AW353" t="inlineStr">
        <is>
          <t>991004249269702656</t>
        </is>
      </c>
      <c r="AX353" t="inlineStr">
        <is>
          <t>991004249269702656</t>
        </is>
      </c>
      <c r="AY353" t="inlineStr">
        <is>
          <t>2268542850002656</t>
        </is>
      </c>
      <c r="AZ353" t="inlineStr">
        <is>
          <t>BOOK</t>
        </is>
      </c>
      <c r="BC353" t="inlineStr">
        <is>
          <t>32285000976836</t>
        </is>
      </c>
      <c r="BD353" t="inlineStr">
        <is>
          <t>893869489</t>
        </is>
      </c>
    </row>
    <row r="354">
      <c r="A354" t="inlineStr">
        <is>
          <t>No</t>
        </is>
      </c>
      <c r="B354" t="inlineStr">
        <is>
          <t>PG3476.S53 D641 1945</t>
        </is>
      </c>
      <c r="C354" t="inlineStr">
        <is>
          <t>0                      PG 3476000S  53                 D  641         1945</t>
        </is>
      </c>
      <c r="D354" t="inlineStr">
        <is>
          <t>Days and nights, translated from the Russian by Joseph Barnes.</t>
        </is>
      </c>
      <c r="F354" t="inlineStr">
        <is>
          <t>No</t>
        </is>
      </c>
      <c r="G354" t="inlineStr">
        <is>
          <t>1</t>
        </is>
      </c>
      <c r="H354" t="inlineStr">
        <is>
          <t>No</t>
        </is>
      </c>
      <c r="I354" t="inlineStr">
        <is>
          <t>No</t>
        </is>
      </c>
      <c r="J354" t="inlineStr">
        <is>
          <t>0</t>
        </is>
      </c>
      <c r="K354" t="inlineStr">
        <is>
          <t>Simonov, Konstantin, 1915-1979.</t>
        </is>
      </c>
      <c r="L354" t="inlineStr">
        <is>
          <t>New York, Simon and Schuster [1945]</t>
        </is>
      </c>
      <c r="M354" t="inlineStr">
        <is>
          <t>1945</t>
        </is>
      </c>
      <c r="O354" t="inlineStr">
        <is>
          <t>eng</t>
        </is>
      </c>
      <c r="P354" t="inlineStr">
        <is>
          <t>nyu</t>
        </is>
      </c>
      <c r="R354" t="inlineStr">
        <is>
          <t xml:space="preserve">PG </t>
        </is>
      </c>
      <c r="S354" t="n">
        <v>4</v>
      </c>
      <c r="T354" t="n">
        <v>4</v>
      </c>
      <c r="U354" t="inlineStr">
        <is>
          <t>2002-11-20</t>
        </is>
      </c>
      <c r="V354" t="inlineStr">
        <is>
          <t>2002-11-20</t>
        </is>
      </c>
      <c r="W354" t="inlineStr">
        <is>
          <t>1997-09-09</t>
        </is>
      </c>
      <c r="X354" t="inlineStr">
        <is>
          <t>1997-09-09</t>
        </is>
      </c>
      <c r="Y354" t="n">
        <v>1102</v>
      </c>
      <c r="Z354" t="n">
        <v>1037</v>
      </c>
      <c r="AA354" t="n">
        <v>1054</v>
      </c>
      <c r="AB354" t="n">
        <v>10</v>
      </c>
      <c r="AC354" t="n">
        <v>10</v>
      </c>
      <c r="AD354" t="n">
        <v>38</v>
      </c>
      <c r="AE354" t="n">
        <v>38</v>
      </c>
      <c r="AF354" t="n">
        <v>12</v>
      </c>
      <c r="AG354" t="n">
        <v>12</v>
      </c>
      <c r="AH354" t="n">
        <v>6</v>
      </c>
      <c r="AI354" t="n">
        <v>6</v>
      </c>
      <c r="AJ354" t="n">
        <v>22</v>
      </c>
      <c r="AK354" t="n">
        <v>22</v>
      </c>
      <c r="AL354" t="n">
        <v>8</v>
      </c>
      <c r="AM354" t="n">
        <v>8</v>
      </c>
      <c r="AN354" t="n">
        <v>0</v>
      </c>
      <c r="AO354" t="n">
        <v>0</v>
      </c>
      <c r="AP354" t="inlineStr">
        <is>
          <t>No</t>
        </is>
      </c>
      <c r="AQ354" t="inlineStr">
        <is>
          <t>Yes</t>
        </is>
      </c>
      <c r="AR354">
        <f>HYPERLINK("http://catalog.hathitrust.org/Record/001110459","HathiTrust Record")</f>
        <v/>
      </c>
      <c r="AS354">
        <f>HYPERLINK("https://creighton-primo.hosted.exlibrisgroup.com/primo-explore/search?tab=default_tab&amp;search_scope=EVERYTHING&amp;vid=01CRU&amp;lang=en_US&amp;offset=0&amp;query=any,contains,991002327399702656","Catalog Record")</f>
        <v/>
      </c>
      <c r="AT354">
        <f>HYPERLINK("http://www.worldcat.org/oclc/321182","WorldCat Record")</f>
        <v/>
      </c>
      <c r="AU354" t="inlineStr">
        <is>
          <t>4923073934:eng</t>
        </is>
      </c>
      <c r="AV354" t="inlineStr">
        <is>
          <t>321182</t>
        </is>
      </c>
      <c r="AW354" t="inlineStr">
        <is>
          <t>991002327399702656</t>
        </is>
      </c>
      <c r="AX354" t="inlineStr">
        <is>
          <t>991002327399702656</t>
        </is>
      </c>
      <c r="AY354" t="inlineStr">
        <is>
          <t>2255972890002656</t>
        </is>
      </c>
      <c r="AZ354" t="inlineStr">
        <is>
          <t>BOOK</t>
        </is>
      </c>
      <c r="BC354" t="inlineStr">
        <is>
          <t>32285003220455</t>
        </is>
      </c>
      <c r="BD354" t="inlineStr">
        <is>
          <t>893445098</t>
        </is>
      </c>
    </row>
    <row r="355">
      <c r="A355" t="inlineStr">
        <is>
          <t>No</t>
        </is>
      </c>
      <c r="B355" t="inlineStr">
        <is>
          <t>PG3476.T435 T7 1982</t>
        </is>
      </c>
      <c r="C355" t="inlineStr">
        <is>
          <t>0                      PG 3476000T  435                T  7           1982</t>
        </is>
      </c>
      <c r="D355" t="inlineStr">
        <is>
          <t>The trial begins ; and, On socialist realism / Abram Tertz ; translated by Max Hayward, George Dennis ; with an introduction by Czeslaw Milosz.</t>
        </is>
      </c>
      <c r="F355" t="inlineStr">
        <is>
          <t>No</t>
        </is>
      </c>
      <c r="G355" t="inlineStr">
        <is>
          <t>1</t>
        </is>
      </c>
      <c r="H355" t="inlineStr">
        <is>
          <t>No</t>
        </is>
      </c>
      <c r="I355" t="inlineStr">
        <is>
          <t>No</t>
        </is>
      </c>
      <c r="J355" t="inlineStr">
        <is>
          <t>0</t>
        </is>
      </c>
      <c r="K355" t="inlineStr">
        <is>
          <t>Tert͡s, Abram, 1925-1997.</t>
        </is>
      </c>
      <c r="L355" t="inlineStr">
        <is>
          <t>Berkeley : University of California Press, 1982, c1960.</t>
        </is>
      </c>
      <c r="M355" t="inlineStr">
        <is>
          <t>1960</t>
        </is>
      </c>
      <c r="N355" t="inlineStr">
        <is>
          <t>[1st California paperback ed.]</t>
        </is>
      </c>
      <c r="O355" t="inlineStr">
        <is>
          <t>eng</t>
        </is>
      </c>
      <c r="P355" t="inlineStr">
        <is>
          <t>cau</t>
        </is>
      </c>
      <c r="R355" t="inlineStr">
        <is>
          <t xml:space="preserve">PG </t>
        </is>
      </c>
      <c r="S355" t="n">
        <v>1</v>
      </c>
      <c r="T355" t="n">
        <v>1</v>
      </c>
      <c r="U355" t="inlineStr">
        <is>
          <t>2009-04-08</t>
        </is>
      </c>
      <c r="V355" t="inlineStr">
        <is>
          <t>2009-04-08</t>
        </is>
      </c>
      <c r="W355" t="inlineStr">
        <is>
          <t>1993-04-28</t>
        </is>
      </c>
      <c r="X355" t="inlineStr">
        <is>
          <t>1993-04-28</t>
        </is>
      </c>
      <c r="Y355" t="n">
        <v>111</v>
      </c>
      <c r="Z355" t="n">
        <v>105</v>
      </c>
      <c r="AA355" t="n">
        <v>742</v>
      </c>
      <c r="AB355" t="n">
        <v>1</v>
      </c>
      <c r="AC355" t="n">
        <v>3</v>
      </c>
      <c r="AD355" t="n">
        <v>8</v>
      </c>
      <c r="AE355" t="n">
        <v>37</v>
      </c>
      <c r="AF355" t="n">
        <v>4</v>
      </c>
      <c r="AG355" t="n">
        <v>14</v>
      </c>
      <c r="AH355" t="n">
        <v>2</v>
      </c>
      <c r="AI355" t="n">
        <v>8</v>
      </c>
      <c r="AJ355" t="n">
        <v>2</v>
      </c>
      <c r="AK355" t="n">
        <v>20</v>
      </c>
      <c r="AL355" t="n">
        <v>0</v>
      </c>
      <c r="AM355" t="n">
        <v>2</v>
      </c>
      <c r="AN355" t="n">
        <v>0</v>
      </c>
      <c r="AO355" t="n">
        <v>1</v>
      </c>
      <c r="AP355" t="inlineStr">
        <is>
          <t>No</t>
        </is>
      </c>
      <c r="AQ355" t="inlineStr">
        <is>
          <t>Yes</t>
        </is>
      </c>
      <c r="AR355">
        <f>HYPERLINK("http://catalog.hathitrust.org/Record/003886073","HathiTrust Record")</f>
        <v/>
      </c>
      <c r="AS355">
        <f>HYPERLINK("https://creighton-primo.hosted.exlibrisgroup.com/primo-explore/search?tab=default_tab&amp;search_scope=EVERYTHING&amp;vid=01CRU&amp;lang=en_US&amp;offset=0&amp;query=any,contains,991000210749702656","Catalog Record")</f>
        <v/>
      </c>
      <c r="AT355">
        <f>HYPERLINK("http://www.worldcat.org/oclc/9538364","WorldCat Record")</f>
        <v/>
      </c>
      <c r="AU355" t="inlineStr">
        <is>
          <t>2070233781:eng</t>
        </is>
      </c>
      <c r="AV355" t="inlineStr">
        <is>
          <t>9538364</t>
        </is>
      </c>
      <c r="AW355" t="inlineStr">
        <is>
          <t>991000210749702656</t>
        </is>
      </c>
      <c r="AX355" t="inlineStr">
        <is>
          <t>991000210749702656</t>
        </is>
      </c>
      <c r="AY355" t="inlineStr">
        <is>
          <t>2260822200002656</t>
        </is>
      </c>
      <c r="AZ355" t="inlineStr">
        <is>
          <t>BOOK</t>
        </is>
      </c>
      <c r="BB355" t="inlineStr">
        <is>
          <t>9780520046771</t>
        </is>
      </c>
      <c r="BC355" t="inlineStr">
        <is>
          <t>32285001649705</t>
        </is>
      </c>
      <c r="BD355" t="inlineStr">
        <is>
          <t>893425532</t>
        </is>
      </c>
    </row>
    <row r="356">
      <c r="A356" t="inlineStr">
        <is>
          <t>No</t>
        </is>
      </c>
      <c r="B356" t="inlineStr">
        <is>
          <t>PG3476.T58 A24 2003</t>
        </is>
      </c>
      <c r="C356" t="inlineStr">
        <is>
          <t>0                      PG 3476000T  58                 A  24          2003</t>
        </is>
      </c>
      <c r="D356" t="inlineStr">
        <is>
          <t>Pushkin's children : writings on Russia and Russians / Tatyana Tolstaya ; translated by Jamey Gambrell.</t>
        </is>
      </c>
      <c r="F356" t="inlineStr">
        <is>
          <t>No</t>
        </is>
      </c>
      <c r="G356" t="inlineStr">
        <is>
          <t>1</t>
        </is>
      </c>
      <c r="H356" t="inlineStr">
        <is>
          <t>No</t>
        </is>
      </c>
      <c r="I356" t="inlineStr">
        <is>
          <t>No</t>
        </is>
      </c>
      <c r="J356" t="inlineStr">
        <is>
          <t>0</t>
        </is>
      </c>
      <c r="K356" t="inlineStr">
        <is>
          <t>Tolstai︠a︡, Tatʹi︠a︡na, 1951 May 3-</t>
        </is>
      </c>
      <c r="L356" t="inlineStr">
        <is>
          <t>Boston : Houghton Mifflin, c2003.</t>
        </is>
      </c>
      <c r="M356" t="inlineStr">
        <is>
          <t>2003</t>
        </is>
      </c>
      <c r="O356" t="inlineStr">
        <is>
          <t>eng</t>
        </is>
      </c>
      <c r="P356" t="inlineStr">
        <is>
          <t>mau</t>
        </is>
      </c>
      <c r="R356" t="inlineStr">
        <is>
          <t xml:space="preserve">PG </t>
        </is>
      </c>
      <c r="S356" t="n">
        <v>1</v>
      </c>
      <c r="T356" t="n">
        <v>1</v>
      </c>
      <c r="U356" t="inlineStr">
        <is>
          <t>2003-06-19</t>
        </is>
      </c>
      <c r="V356" t="inlineStr">
        <is>
          <t>2003-06-19</t>
        </is>
      </c>
      <c r="W356" t="inlineStr">
        <is>
          <t>2003-06-19</t>
        </is>
      </c>
      <c r="X356" t="inlineStr">
        <is>
          <t>2003-06-19</t>
        </is>
      </c>
      <c r="Y356" t="n">
        <v>505</v>
      </c>
      <c r="Z356" t="n">
        <v>466</v>
      </c>
      <c r="AA356" t="n">
        <v>482</v>
      </c>
      <c r="AB356" t="n">
        <v>3</v>
      </c>
      <c r="AC356" t="n">
        <v>3</v>
      </c>
      <c r="AD356" t="n">
        <v>17</v>
      </c>
      <c r="AE356" t="n">
        <v>17</v>
      </c>
      <c r="AF356" t="n">
        <v>5</v>
      </c>
      <c r="AG356" t="n">
        <v>5</v>
      </c>
      <c r="AH356" t="n">
        <v>7</v>
      </c>
      <c r="AI356" t="n">
        <v>7</v>
      </c>
      <c r="AJ356" t="n">
        <v>7</v>
      </c>
      <c r="AK356" t="n">
        <v>7</v>
      </c>
      <c r="AL356" t="n">
        <v>2</v>
      </c>
      <c r="AM356" t="n">
        <v>2</v>
      </c>
      <c r="AN356" t="n">
        <v>0</v>
      </c>
      <c r="AO356" t="n">
        <v>0</v>
      </c>
      <c r="AP356" t="inlineStr">
        <is>
          <t>No</t>
        </is>
      </c>
      <c r="AQ356" t="inlineStr">
        <is>
          <t>Yes</t>
        </is>
      </c>
      <c r="AR356">
        <f>HYPERLINK("http://catalog.hathitrust.org/Record/004304298","HathiTrust Record")</f>
        <v/>
      </c>
      <c r="AS356">
        <f>HYPERLINK("https://creighton-primo.hosted.exlibrisgroup.com/primo-explore/search?tab=default_tab&amp;search_scope=EVERYTHING&amp;vid=01CRU&amp;lang=en_US&amp;offset=0&amp;query=any,contains,991004073539702656","Catalog Record")</f>
        <v/>
      </c>
      <c r="AT356">
        <f>HYPERLINK("http://www.worldcat.org/oclc/50166724","WorldCat Record")</f>
        <v/>
      </c>
      <c r="AU356" t="inlineStr">
        <is>
          <t>1059248656:eng</t>
        </is>
      </c>
      <c r="AV356" t="inlineStr">
        <is>
          <t>50166724</t>
        </is>
      </c>
      <c r="AW356" t="inlineStr">
        <is>
          <t>991004073539702656</t>
        </is>
      </c>
      <c r="AX356" t="inlineStr">
        <is>
          <t>991004073539702656</t>
        </is>
      </c>
      <c r="AY356" t="inlineStr">
        <is>
          <t>2269138070002656</t>
        </is>
      </c>
      <c r="AZ356" t="inlineStr">
        <is>
          <t>BOOK</t>
        </is>
      </c>
      <c r="BB356" t="inlineStr">
        <is>
          <t>9780618125005</t>
        </is>
      </c>
      <c r="BC356" t="inlineStr">
        <is>
          <t>32285004753967</t>
        </is>
      </c>
      <c r="BD356" t="inlineStr">
        <is>
          <t>893882032</t>
        </is>
      </c>
    </row>
    <row r="357">
      <c r="A357" t="inlineStr">
        <is>
          <t>No</t>
        </is>
      </c>
      <c r="B357" t="inlineStr">
        <is>
          <t>PG3476.T6 P4 1959</t>
        </is>
      </c>
      <c r="C357" t="inlineStr">
        <is>
          <t>0                      PG 3476000T  6                  P  4           1959</t>
        </is>
      </c>
      <c r="D357" t="inlineStr">
        <is>
          <t>Petr Pervyĭ : roman / A. N. Tolstoĭ.</t>
        </is>
      </c>
      <c r="F357" t="inlineStr">
        <is>
          <t>No</t>
        </is>
      </c>
      <c r="G357" t="inlineStr">
        <is>
          <t>1</t>
        </is>
      </c>
      <c r="H357" t="inlineStr">
        <is>
          <t>No</t>
        </is>
      </c>
      <c r="I357" t="inlineStr">
        <is>
          <t>No</t>
        </is>
      </c>
      <c r="J357" t="inlineStr">
        <is>
          <t>0</t>
        </is>
      </c>
      <c r="K357" t="inlineStr">
        <is>
          <t>Tolstoy, Aleksey Nikolayevich, graf, 1883-1945.</t>
        </is>
      </c>
      <c r="L357" t="inlineStr">
        <is>
          <t>Moskva : Khudozh. Lit-ra, 1959.</t>
        </is>
      </c>
      <c r="M357" t="inlineStr">
        <is>
          <t>1959</t>
        </is>
      </c>
      <c r="O357" t="inlineStr">
        <is>
          <t>rus</t>
        </is>
      </c>
      <c r="P357" t="inlineStr">
        <is>
          <t xml:space="preserve">ru </t>
        </is>
      </c>
      <c r="R357" t="inlineStr">
        <is>
          <t xml:space="preserve">PG </t>
        </is>
      </c>
      <c r="S357" t="n">
        <v>1</v>
      </c>
      <c r="T357" t="n">
        <v>1</v>
      </c>
      <c r="U357" t="inlineStr">
        <is>
          <t>1998-04-17</t>
        </is>
      </c>
      <c r="V357" t="inlineStr">
        <is>
          <t>1998-04-17</t>
        </is>
      </c>
      <c r="W357" t="inlineStr">
        <is>
          <t>1995-02-23</t>
        </is>
      </c>
      <c r="X357" t="inlineStr">
        <is>
          <t>1995-02-23</t>
        </is>
      </c>
      <c r="Y357" t="n">
        <v>29</v>
      </c>
      <c r="Z357" t="n">
        <v>22</v>
      </c>
      <c r="AA357" t="n">
        <v>208</v>
      </c>
      <c r="AB357" t="n">
        <v>1</v>
      </c>
      <c r="AC357" t="n">
        <v>2</v>
      </c>
      <c r="AD357" t="n">
        <v>3</v>
      </c>
      <c r="AE357" t="n">
        <v>8</v>
      </c>
      <c r="AF357" t="n">
        <v>1</v>
      </c>
      <c r="AG357" t="n">
        <v>3</v>
      </c>
      <c r="AH357" t="n">
        <v>1</v>
      </c>
      <c r="AI357" t="n">
        <v>1</v>
      </c>
      <c r="AJ357" t="n">
        <v>2</v>
      </c>
      <c r="AK357" t="n">
        <v>5</v>
      </c>
      <c r="AL357" t="n">
        <v>0</v>
      </c>
      <c r="AM357" t="n">
        <v>1</v>
      </c>
      <c r="AN357" t="n">
        <v>0</v>
      </c>
      <c r="AO357" t="n">
        <v>0</v>
      </c>
      <c r="AP357" t="inlineStr">
        <is>
          <t>No</t>
        </is>
      </c>
      <c r="AQ357" t="inlineStr">
        <is>
          <t>No</t>
        </is>
      </c>
      <c r="AS357">
        <f>HYPERLINK("https://creighton-primo.hosted.exlibrisgroup.com/primo-explore/search?tab=default_tab&amp;search_scope=EVERYTHING&amp;vid=01CRU&amp;lang=en_US&amp;offset=0&amp;query=any,contains,991000528369702656","Catalog Record")</f>
        <v/>
      </c>
      <c r="AT357">
        <f>HYPERLINK("http://www.worldcat.org/oclc/11376148","WorldCat Record")</f>
        <v/>
      </c>
      <c r="AU357" t="inlineStr">
        <is>
          <t>1801315:rus</t>
        </is>
      </c>
      <c r="AV357" t="inlineStr">
        <is>
          <t>11376148</t>
        </is>
      </c>
      <c r="AW357" t="inlineStr">
        <is>
          <t>991000528369702656</t>
        </is>
      </c>
      <c r="AX357" t="inlineStr">
        <is>
          <t>991000528369702656</t>
        </is>
      </c>
      <c r="AY357" t="inlineStr">
        <is>
          <t>2255236870002656</t>
        </is>
      </c>
      <c r="AZ357" t="inlineStr">
        <is>
          <t>BOOK</t>
        </is>
      </c>
      <c r="BC357" t="inlineStr">
        <is>
          <t>32285002010550</t>
        </is>
      </c>
      <c r="BD357" t="inlineStr">
        <is>
          <t>893601826</t>
        </is>
      </c>
    </row>
    <row r="358">
      <c r="A358" t="inlineStr">
        <is>
          <t>No</t>
        </is>
      </c>
      <c r="B358" t="inlineStr">
        <is>
          <t>PG3476.T75 A24 2002</t>
        </is>
      </c>
      <c r="C358" t="inlineStr">
        <is>
          <t>0                      PG 3476000T  75                 A  24          2002</t>
        </is>
      </c>
      <c r="D358" t="inlineStr">
        <is>
          <t>Earthly signs : Moscow diaries, 1917-1922 / Marina Tsvetaeva ; edited, translated, &amp; with an introduction by Jamey Gambrell.</t>
        </is>
      </c>
      <c r="F358" t="inlineStr">
        <is>
          <t>No</t>
        </is>
      </c>
      <c r="G358" t="inlineStr">
        <is>
          <t>1</t>
        </is>
      </c>
      <c r="H358" t="inlineStr">
        <is>
          <t>No</t>
        </is>
      </c>
      <c r="I358" t="inlineStr">
        <is>
          <t>No</t>
        </is>
      </c>
      <c r="J358" t="inlineStr">
        <is>
          <t>0</t>
        </is>
      </c>
      <c r="K358" t="inlineStr">
        <is>
          <t>T︠S︡vetaeva, Marina, 1892-1941.</t>
        </is>
      </c>
      <c r="L358" t="inlineStr">
        <is>
          <t>New Haven : Yale University Press, c2002.</t>
        </is>
      </c>
      <c r="M358" t="inlineStr">
        <is>
          <t>2002</t>
        </is>
      </c>
      <c r="O358" t="inlineStr">
        <is>
          <t>eng</t>
        </is>
      </c>
      <c r="P358" t="inlineStr">
        <is>
          <t>ctu</t>
        </is>
      </c>
      <c r="Q358" t="inlineStr">
        <is>
          <t>Russian literature and thought</t>
        </is>
      </c>
      <c r="R358" t="inlineStr">
        <is>
          <t xml:space="preserve">PG </t>
        </is>
      </c>
      <c r="S358" t="n">
        <v>1</v>
      </c>
      <c r="T358" t="n">
        <v>1</v>
      </c>
      <c r="U358" t="inlineStr">
        <is>
          <t>2010-02-10</t>
        </is>
      </c>
      <c r="V358" t="inlineStr">
        <is>
          <t>2010-02-10</t>
        </is>
      </c>
      <c r="W358" t="inlineStr">
        <is>
          <t>2010-02-10</t>
        </is>
      </c>
      <c r="X358" t="inlineStr">
        <is>
          <t>2010-02-10</t>
        </is>
      </c>
      <c r="Y358" t="n">
        <v>387</v>
      </c>
      <c r="Z358" t="n">
        <v>341</v>
      </c>
      <c r="AA358" t="n">
        <v>381</v>
      </c>
      <c r="AB358" t="n">
        <v>2</v>
      </c>
      <c r="AC358" t="n">
        <v>2</v>
      </c>
      <c r="AD358" t="n">
        <v>21</v>
      </c>
      <c r="AE358" t="n">
        <v>22</v>
      </c>
      <c r="AF358" t="n">
        <v>8</v>
      </c>
      <c r="AG358" t="n">
        <v>8</v>
      </c>
      <c r="AH358" t="n">
        <v>7</v>
      </c>
      <c r="AI358" t="n">
        <v>7</v>
      </c>
      <c r="AJ358" t="n">
        <v>11</v>
      </c>
      <c r="AK358" t="n">
        <v>12</v>
      </c>
      <c r="AL358" t="n">
        <v>1</v>
      </c>
      <c r="AM358" t="n">
        <v>1</v>
      </c>
      <c r="AN358" t="n">
        <v>0</v>
      </c>
      <c r="AO358" t="n">
        <v>0</v>
      </c>
      <c r="AP358" t="inlineStr">
        <is>
          <t>No</t>
        </is>
      </c>
      <c r="AQ358" t="inlineStr">
        <is>
          <t>Yes</t>
        </is>
      </c>
      <c r="AR358">
        <f>HYPERLINK("http://catalog.hathitrust.org/Record/004294345","HathiTrust Record")</f>
        <v/>
      </c>
      <c r="AS358">
        <f>HYPERLINK("https://creighton-primo.hosted.exlibrisgroup.com/primo-explore/search?tab=default_tab&amp;search_scope=EVERYTHING&amp;vid=01CRU&amp;lang=en_US&amp;offset=0&amp;query=any,contains,991005360199702656","Catalog Record")</f>
        <v/>
      </c>
      <c r="AT358">
        <f>HYPERLINK("http://www.worldcat.org/oclc/49385838","WorldCat Record")</f>
        <v/>
      </c>
      <c r="AU358" t="inlineStr">
        <is>
          <t>996959:eng</t>
        </is>
      </c>
      <c r="AV358" t="inlineStr">
        <is>
          <t>49385838</t>
        </is>
      </c>
      <c r="AW358" t="inlineStr">
        <is>
          <t>991005360199702656</t>
        </is>
      </c>
      <c r="AX358" t="inlineStr">
        <is>
          <t>991005360199702656</t>
        </is>
      </c>
      <c r="AY358" t="inlineStr">
        <is>
          <t>2272039120002656</t>
        </is>
      </c>
      <c r="AZ358" t="inlineStr">
        <is>
          <t>BOOK</t>
        </is>
      </c>
      <c r="BB358" t="inlineStr">
        <is>
          <t>9780300069228</t>
        </is>
      </c>
      <c r="BC358" t="inlineStr">
        <is>
          <t>32285005572960</t>
        </is>
      </c>
      <c r="BD358" t="inlineStr">
        <is>
          <t>893905412</t>
        </is>
      </c>
    </row>
    <row r="359">
      <c r="A359" t="inlineStr">
        <is>
          <t>No</t>
        </is>
      </c>
      <c r="B359" t="inlineStr">
        <is>
          <t>PG3476.T75 Z636 2001</t>
        </is>
      </c>
      <c r="C359" t="inlineStr">
        <is>
          <t>0                      PG 3476000T  75                 Z  636         2001</t>
        </is>
      </c>
      <c r="D359" t="inlineStr">
        <is>
          <t>A Russian psyche : the poetic mind of Marina Tsvetaeva / Alyssa W. Dinega.</t>
        </is>
      </c>
      <c r="F359" t="inlineStr">
        <is>
          <t>No</t>
        </is>
      </c>
      <c r="G359" t="inlineStr">
        <is>
          <t>1</t>
        </is>
      </c>
      <c r="H359" t="inlineStr">
        <is>
          <t>No</t>
        </is>
      </c>
      <c r="I359" t="inlineStr">
        <is>
          <t>No</t>
        </is>
      </c>
      <c r="J359" t="inlineStr">
        <is>
          <t>0</t>
        </is>
      </c>
      <c r="K359" t="inlineStr">
        <is>
          <t>Gillespie, Alyssa Dinega, 1970-</t>
        </is>
      </c>
      <c r="L359" t="inlineStr">
        <is>
          <t>Madison : University of Wisconsin Press, c2001.</t>
        </is>
      </c>
      <c r="M359" t="inlineStr">
        <is>
          <t>2001</t>
        </is>
      </c>
      <c r="O359" t="inlineStr">
        <is>
          <t>eng</t>
        </is>
      </c>
      <c r="P359" t="inlineStr">
        <is>
          <t>wiu</t>
        </is>
      </c>
      <c r="R359" t="inlineStr">
        <is>
          <t xml:space="preserve">PG </t>
        </is>
      </c>
      <c r="S359" t="n">
        <v>1</v>
      </c>
      <c r="T359" t="n">
        <v>1</v>
      </c>
      <c r="U359" t="inlineStr">
        <is>
          <t>2003-05-20</t>
        </is>
      </c>
      <c r="V359" t="inlineStr">
        <is>
          <t>2003-05-20</t>
        </is>
      </c>
      <c r="W359" t="inlineStr">
        <is>
          <t>2003-05-20</t>
        </is>
      </c>
      <c r="X359" t="inlineStr">
        <is>
          <t>2003-05-20</t>
        </is>
      </c>
      <c r="Y359" t="n">
        <v>303</v>
      </c>
      <c r="Z359" t="n">
        <v>276</v>
      </c>
      <c r="AA359" t="n">
        <v>560</v>
      </c>
      <c r="AB359" t="n">
        <v>2</v>
      </c>
      <c r="AC359" t="n">
        <v>5</v>
      </c>
      <c r="AD359" t="n">
        <v>11</v>
      </c>
      <c r="AE359" t="n">
        <v>15</v>
      </c>
      <c r="AF359" t="n">
        <v>2</v>
      </c>
      <c r="AG359" t="n">
        <v>3</v>
      </c>
      <c r="AH359" t="n">
        <v>5</v>
      </c>
      <c r="AI359" t="n">
        <v>5</v>
      </c>
      <c r="AJ359" t="n">
        <v>6</v>
      </c>
      <c r="AK359" t="n">
        <v>7</v>
      </c>
      <c r="AL359" t="n">
        <v>1</v>
      </c>
      <c r="AM359" t="n">
        <v>4</v>
      </c>
      <c r="AN359" t="n">
        <v>0</v>
      </c>
      <c r="AO359" t="n">
        <v>0</v>
      </c>
      <c r="AP359" t="inlineStr">
        <is>
          <t>No</t>
        </is>
      </c>
      <c r="AQ359" t="inlineStr">
        <is>
          <t>Yes</t>
        </is>
      </c>
      <c r="AR359">
        <f>HYPERLINK("http://catalog.hathitrust.org/Record/004215274","HathiTrust Record")</f>
        <v/>
      </c>
      <c r="AS359">
        <f>HYPERLINK("https://creighton-primo.hosted.exlibrisgroup.com/primo-explore/search?tab=default_tab&amp;search_scope=EVERYTHING&amp;vid=01CRU&amp;lang=en_US&amp;offset=0&amp;query=any,contains,991004051109702656","Catalog Record")</f>
        <v/>
      </c>
      <c r="AT359">
        <f>HYPERLINK("http://www.worldcat.org/oclc/46670995","WorldCat Record")</f>
        <v/>
      </c>
      <c r="AU359" t="inlineStr">
        <is>
          <t>803138961:eng</t>
        </is>
      </c>
      <c r="AV359" t="inlineStr">
        <is>
          <t>46670995</t>
        </is>
      </c>
      <c r="AW359" t="inlineStr">
        <is>
          <t>991004051109702656</t>
        </is>
      </c>
      <c r="AX359" t="inlineStr">
        <is>
          <t>991004051109702656</t>
        </is>
      </c>
      <c r="AY359" t="inlineStr">
        <is>
          <t>2263702860002656</t>
        </is>
      </c>
      <c r="AZ359" t="inlineStr">
        <is>
          <t>BOOK</t>
        </is>
      </c>
      <c r="BB359" t="inlineStr">
        <is>
          <t>9780299173302</t>
        </is>
      </c>
      <c r="BC359" t="inlineStr">
        <is>
          <t>32285004747589</t>
        </is>
      </c>
      <c r="BD359" t="inlineStr">
        <is>
          <t>893500045</t>
        </is>
      </c>
    </row>
    <row r="360">
      <c r="A360" t="inlineStr">
        <is>
          <t>No</t>
        </is>
      </c>
      <c r="B360" t="inlineStr">
        <is>
          <t>PG3476.T75 Z8913 1992</t>
        </is>
      </c>
      <c r="C360" t="inlineStr">
        <is>
          <t>0                      PG 3476000T  75                 Z  8913        1992</t>
        </is>
      </c>
      <c r="D360" t="inlineStr">
        <is>
          <t>Tsvetaeva / Viktoria Schweitzer ; translated from the Russian by Robert Chandler and H. T. Willetts ; poetry translated by Peter Norman ; edited and annotated by Angela Livingstone.</t>
        </is>
      </c>
      <c r="F360" t="inlineStr">
        <is>
          <t>No</t>
        </is>
      </c>
      <c r="G360" t="inlineStr">
        <is>
          <t>1</t>
        </is>
      </c>
      <c r="H360" t="inlineStr">
        <is>
          <t>No</t>
        </is>
      </c>
      <c r="I360" t="inlineStr">
        <is>
          <t>No</t>
        </is>
      </c>
      <c r="J360" t="inlineStr">
        <is>
          <t>0</t>
        </is>
      </c>
      <c r="K360" t="inlineStr">
        <is>
          <t>Shveĭt͡ser, Viktorii͡a, 1932-</t>
        </is>
      </c>
      <c r="L360" t="inlineStr">
        <is>
          <t>London : Harvill, 1992.</t>
        </is>
      </c>
      <c r="M360" t="inlineStr">
        <is>
          <t>1992</t>
        </is>
      </c>
      <c r="O360" t="inlineStr">
        <is>
          <t>eng</t>
        </is>
      </c>
      <c r="P360" t="inlineStr">
        <is>
          <t>enk</t>
        </is>
      </c>
      <c r="R360" t="inlineStr">
        <is>
          <t xml:space="preserve">PG </t>
        </is>
      </c>
      <c r="S360" t="n">
        <v>2</v>
      </c>
      <c r="T360" t="n">
        <v>2</v>
      </c>
      <c r="U360" t="inlineStr">
        <is>
          <t>1994-03-14</t>
        </is>
      </c>
      <c r="V360" t="inlineStr">
        <is>
          <t>1994-03-14</t>
        </is>
      </c>
      <c r="W360" t="inlineStr">
        <is>
          <t>1994-02-14</t>
        </is>
      </c>
      <c r="X360" t="inlineStr">
        <is>
          <t>1994-02-14</t>
        </is>
      </c>
      <c r="Y360" t="n">
        <v>231</v>
      </c>
      <c r="Z360" t="n">
        <v>170</v>
      </c>
      <c r="AA360" t="n">
        <v>532</v>
      </c>
      <c r="AB360" t="n">
        <v>2</v>
      </c>
      <c r="AC360" t="n">
        <v>4</v>
      </c>
      <c r="AD360" t="n">
        <v>7</v>
      </c>
      <c r="AE360" t="n">
        <v>21</v>
      </c>
      <c r="AF360" t="n">
        <v>2</v>
      </c>
      <c r="AG360" t="n">
        <v>7</v>
      </c>
      <c r="AH360" t="n">
        <v>1</v>
      </c>
      <c r="AI360" t="n">
        <v>4</v>
      </c>
      <c r="AJ360" t="n">
        <v>5</v>
      </c>
      <c r="AK360" t="n">
        <v>13</v>
      </c>
      <c r="AL360" t="n">
        <v>1</v>
      </c>
      <c r="AM360" t="n">
        <v>2</v>
      </c>
      <c r="AN360" t="n">
        <v>0</v>
      </c>
      <c r="AO360" t="n">
        <v>0</v>
      </c>
      <c r="AP360" t="inlineStr">
        <is>
          <t>No</t>
        </is>
      </c>
      <c r="AQ360" t="inlineStr">
        <is>
          <t>Yes</t>
        </is>
      </c>
      <c r="AR360">
        <f>HYPERLINK("http://catalog.hathitrust.org/Record/002633386","HathiTrust Record")</f>
        <v/>
      </c>
      <c r="AS360">
        <f>HYPERLINK("https://creighton-primo.hosted.exlibrisgroup.com/primo-explore/search?tab=default_tab&amp;search_scope=EVERYTHING&amp;vid=01CRU&amp;lang=en_US&amp;offset=0&amp;query=any,contains,991002196119702656","Catalog Record")</f>
        <v/>
      </c>
      <c r="AT360">
        <f>HYPERLINK("http://www.worldcat.org/oclc/28222645","WorldCat Record")</f>
        <v/>
      </c>
      <c r="AU360" t="inlineStr">
        <is>
          <t>3856189545:eng</t>
        </is>
      </c>
      <c r="AV360" t="inlineStr">
        <is>
          <t>28222645</t>
        </is>
      </c>
      <c r="AW360" t="inlineStr">
        <is>
          <t>991002196119702656</t>
        </is>
      </c>
      <c r="AX360" t="inlineStr">
        <is>
          <t>991002196119702656</t>
        </is>
      </c>
      <c r="AY360" t="inlineStr">
        <is>
          <t>2261832600002656</t>
        </is>
      </c>
      <c r="AZ360" t="inlineStr">
        <is>
          <t>BOOK</t>
        </is>
      </c>
      <c r="BB360" t="inlineStr">
        <is>
          <t>9780002720533</t>
        </is>
      </c>
      <c r="BC360" t="inlineStr">
        <is>
          <t>32285001841864</t>
        </is>
      </c>
      <c r="BD360" t="inlineStr">
        <is>
          <t>893898473</t>
        </is>
      </c>
    </row>
    <row r="361">
      <c r="A361" t="inlineStr">
        <is>
          <t>No</t>
        </is>
      </c>
      <c r="B361" t="inlineStr">
        <is>
          <t>PG3476.V6 M6</t>
        </is>
      </c>
      <c r="C361" t="inlineStr">
        <is>
          <t>0                      PG 3476000V  6                  M  6</t>
        </is>
      </c>
      <c r="D361" t="inlineStr">
        <is>
          <t>Mother earth, and other stories [by] Boris Pilnyak. Translated from the Russian and edited by Vera T. Reck and Michael Green.</t>
        </is>
      </c>
      <c r="F361" t="inlineStr">
        <is>
          <t>No</t>
        </is>
      </c>
      <c r="G361" t="inlineStr">
        <is>
          <t>1</t>
        </is>
      </c>
      <c r="H361" t="inlineStr">
        <is>
          <t>No</t>
        </is>
      </c>
      <c r="I361" t="inlineStr">
        <is>
          <t>No</t>
        </is>
      </c>
      <c r="J361" t="inlineStr">
        <is>
          <t>0</t>
        </is>
      </c>
      <c r="K361" t="inlineStr">
        <is>
          <t>Pilʹni︠a︡k, Boris, 1894-1937.</t>
        </is>
      </c>
      <c r="L361" t="inlineStr">
        <is>
          <t>New York, Praeger [1968]</t>
        </is>
      </c>
      <c r="M361" t="inlineStr">
        <is>
          <t>1968</t>
        </is>
      </c>
      <c r="O361" t="inlineStr">
        <is>
          <t>eng</t>
        </is>
      </c>
      <c r="P361" t="inlineStr">
        <is>
          <t>nyu</t>
        </is>
      </c>
      <c r="R361" t="inlineStr">
        <is>
          <t xml:space="preserve">PG </t>
        </is>
      </c>
      <c r="S361" t="n">
        <v>2</v>
      </c>
      <c r="T361" t="n">
        <v>2</v>
      </c>
      <c r="U361" t="inlineStr">
        <is>
          <t>2004-11-22</t>
        </is>
      </c>
      <c r="V361" t="inlineStr">
        <is>
          <t>2004-11-22</t>
        </is>
      </c>
      <c r="W361" t="inlineStr">
        <is>
          <t>1997-09-09</t>
        </is>
      </c>
      <c r="X361" t="inlineStr">
        <is>
          <t>1997-09-09</t>
        </is>
      </c>
      <c r="Y361" t="n">
        <v>415</v>
      </c>
      <c r="Z361" t="n">
        <v>385</v>
      </c>
      <c r="AA361" t="n">
        <v>473</v>
      </c>
      <c r="AB361" t="n">
        <v>4</v>
      </c>
      <c r="AC361" t="n">
        <v>4</v>
      </c>
      <c r="AD361" t="n">
        <v>16</v>
      </c>
      <c r="AE361" t="n">
        <v>20</v>
      </c>
      <c r="AF361" t="n">
        <v>4</v>
      </c>
      <c r="AG361" t="n">
        <v>6</v>
      </c>
      <c r="AH361" t="n">
        <v>3</v>
      </c>
      <c r="AI361" t="n">
        <v>4</v>
      </c>
      <c r="AJ361" t="n">
        <v>9</v>
      </c>
      <c r="AK361" t="n">
        <v>12</v>
      </c>
      <c r="AL361" t="n">
        <v>3</v>
      </c>
      <c r="AM361" t="n">
        <v>3</v>
      </c>
      <c r="AN361" t="n">
        <v>0</v>
      </c>
      <c r="AO361" t="n">
        <v>0</v>
      </c>
      <c r="AP361" t="inlineStr">
        <is>
          <t>No</t>
        </is>
      </c>
      <c r="AQ361" t="inlineStr">
        <is>
          <t>Yes</t>
        </is>
      </c>
      <c r="AR361">
        <f>HYPERLINK("http://catalog.hathitrust.org/Record/001061398","HathiTrust Record")</f>
        <v/>
      </c>
      <c r="AS361">
        <f>HYPERLINK("https://creighton-primo.hosted.exlibrisgroup.com/primo-explore/search?tab=default_tab&amp;search_scope=EVERYTHING&amp;vid=01CRU&amp;lang=en_US&amp;offset=0&amp;query=any,contains,991002802809702656","Catalog Record")</f>
        <v/>
      </c>
      <c r="AT361">
        <f>HYPERLINK("http://www.worldcat.org/oclc/448303","WorldCat Record")</f>
        <v/>
      </c>
      <c r="AU361" t="inlineStr">
        <is>
          <t>1587656:eng</t>
        </is>
      </c>
      <c r="AV361" t="inlineStr">
        <is>
          <t>448303</t>
        </is>
      </c>
      <c r="AW361" t="inlineStr">
        <is>
          <t>991002802809702656</t>
        </is>
      </c>
      <c r="AX361" t="inlineStr">
        <is>
          <t>991002802809702656</t>
        </is>
      </c>
      <c r="AY361" t="inlineStr">
        <is>
          <t>2266572910002656</t>
        </is>
      </c>
      <c r="AZ361" t="inlineStr">
        <is>
          <t>BOOK</t>
        </is>
      </c>
      <c r="BC361" t="inlineStr">
        <is>
          <t>32285003220521</t>
        </is>
      </c>
      <c r="BD361" t="inlineStr">
        <is>
          <t>893440548</t>
        </is>
      </c>
    </row>
    <row r="362">
      <c r="A362" t="inlineStr">
        <is>
          <t>No</t>
        </is>
      </c>
      <c r="B362" t="inlineStr">
        <is>
          <t>PG3476.Z7 N4</t>
        </is>
      </c>
      <c r="C362" t="inlineStr">
        <is>
          <t>0                      PG 3476000Z  7                  N  4</t>
        </is>
      </c>
      <c r="D362" t="inlineStr">
        <is>
          <t>Nervous people, and other satires / edited, with an introd., by Hugh McLean. Translated from the Russian by Maria Gordon and Hugh McLean.</t>
        </is>
      </c>
      <c r="F362" t="inlineStr">
        <is>
          <t>No</t>
        </is>
      </c>
      <c r="G362" t="inlineStr">
        <is>
          <t>1</t>
        </is>
      </c>
      <c r="H362" t="inlineStr">
        <is>
          <t>No</t>
        </is>
      </c>
      <c r="I362" t="inlineStr">
        <is>
          <t>No</t>
        </is>
      </c>
      <c r="J362" t="inlineStr">
        <is>
          <t>0</t>
        </is>
      </c>
      <c r="K362" t="inlineStr">
        <is>
          <t>Zoshchenko, Mikhail, 1895-1958.</t>
        </is>
      </c>
      <c r="L362" t="inlineStr">
        <is>
          <t>New York : Pantheon Books, [1963]</t>
        </is>
      </c>
      <c r="M362" t="inlineStr">
        <is>
          <t>1963</t>
        </is>
      </c>
      <c r="O362" t="inlineStr">
        <is>
          <t>eng</t>
        </is>
      </c>
      <c r="P362" t="inlineStr">
        <is>
          <t>nyu</t>
        </is>
      </c>
      <c r="R362" t="inlineStr">
        <is>
          <t xml:space="preserve">PG </t>
        </is>
      </c>
      <c r="S362" t="n">
        <v>4</v>
      </c>
      <c r="T362" t="n">
        <v>4</v>
      </c>
      <c r="U362" t="inlineStr">
        <is>
          <t>2002-10-30</t>
        </is>
      </c>
      <c r="V362" t="inlineStr">
        <is>
          <t>2002-10-30</t>
        </is>
      </c>
      <c r="W362" t="inlineStr">
        <is>
          <t>1991-12-16</t>
        </is>
      </c>
      <c r="X362" t="inlineStr">
        <is>
          <t>1991-12-16</t>
        </is>
      </c>
      <c r="Y362" t="n">
        <v>404</v>
      </c>
      <c r="Z362" t="n">
        <v>371</v>
      </c>
      <c r="AA362" t="n">
        <v>667</v>
      </c>
      <c r="AB362" t="n">
        <v>2</v>
      </c>
      <c r="AC362" t="n">
        <v>5</v>
      </c>
      <c r="AD362" t="n">
        <v>13</v>
      </c>
      <c r="AE362" t="n">
        <v>29</v>
      </c>
      <c r="AF362" t="n">
        <v>2</v>
      </c>
      <c r="AG362" t="n">
        <v>9</v>
      </c>
      <c r="AH362" t="n">
        <v>2</v>
      </c>
      <c r="AI362" t="n">
        <v>7</v>
      </c>
      <c r="AJ362" t="n">
        <v>9</v>
      </c>
      <c r="AK362" t="n">
        <v>17</v>
      </c>
      <c r="AL362" t="n">
        <v>1</v>
      </c>
      <c r="AM362" t="n">
        <v>4</v>
      </c>
      <c r="AN362" t="n">
        <v>0</v>
      </c>
      <c r="AO362" t="n">
        <v>0</v>
      </c>
      <c r="AP362" t="inlineStr">
        <is>
          <t>No</t>
        </is>
      </c>
      <c r="AQ362" t="inlineStr">
        <is>
          <t>No</t>
        </is>
      </c>
      <c r="AR362">
        <f>HYPERLINK("http://catalog.hathitrust.org/Record/001108489","HathiTrust Record")</f>
        <v/>
      </c>
      <c r="AS362">
        <f>HYPERLINK("https://creighton-primo.hosted.exlibrisgroup.com/primo-explore/search?tab=default_tab&amp;search_scope=EVERYTHING&amp;vid=01CRU&amp;lang=en_US&amp;offset=0&amp;query=any,contains,991003471959702656","Catalog Record")</f>
        <v/>
      </c>
      <c r="AT362">
        <f>HYPERLINK("http://www.worldcat.org/oclc/1014970","WorldCat Record")</f>
        <v/>
      </c>
      <c r="AU362" t="inlineStr">
        <is>
          <t>2908432095:eng</t>
        </is>
      </c>
      <c r="AV362" t="inlineStr">
        <is>
          <t>1014970</t>
        </is>
      </c>
      <c r="AW362" t="inlineStr">
        <is>
          <t>991003471959702656</t>
        </is>
      </c>
      <c r="AX362" t="inlineStr">
        <is>
          <t>991003471959702656</t>
        </is>
      </c>
      <c r="AY362" t="inlineStr">
        <is>
          <t>2256170330002656</t>
        </is>
      </c>
      <c r="AZ362" t="inlineStr">
        <is>
          <t>BOOK</t>
        </is>
      </c>
      <c r="BC362" t="inlineStr">
        <is>
          <t>32285000877877</t>
        </is>
      </c>
      <c r="BD362" t="inlineStr">
        <is>
          <t>893874781</t>
        </is>
      </c>
    </row>
    <row r="363">
      <c r="A363" t="inlineStr">
        <is>
          <t>No</t>
        </is>
      </c>
      <c r="B363" t="inlineStr">
        <is>
          <t>PG3478.I8 D613 1983</t>
        </is>
      </c>
      <c r="C363" t="inlineStr">
        <is>
          <t>0                      PG 3478000I  8                  D  613         1983</t>
        </is>
      </c>
      <c r="D363" t="inlineStr">
        <is>
          <t>The day lasts more than a hundred years / Chingiz Aitmatov ; translated by John French ; foreword by Katerina Clark.</t>
        </is>
      </c>
      <c r="F363" t="inlineStr">
        <is>
          <t>No</t>
        </is>
      </c>
      <c r="G363" t="inlineStr">
        <is>
          <t>1</t>
        </is>
      </c>
      <c r="H363" t="inlineStr">
        <is>
          <t>No</t>
        </is>
      </c>
      <c r="I363" t="inlineStr">
        <is>
          <t>No</t>
        </is>
      </c>
      <c r="J363" t="inlineStr">
        <is>
          <t>0</t>
        </is>
      </c>
      <c r="K363" t="inlineStr">
        <is>
          <t>Aĭtmatov, Chingiz.</t>
        </is>
      </c>
      <c r="L363" t="inlineStr">
        <is>
          <t>Bloomington : Indiana University Press, c1983.</t>
        </is>
      </c>
      <c r="M363" t="inlineStr">
        <is>
          <t>1983</t>
        </is>
      </c>
      <c r="O363" t="inlineStr">
        <is>
          <t>eng</t>
        </is>
      </c>
      <c r="P363" t="inlineStr">
        <is>
          <t>inu</t>
        </is>
      </c>
      <c r="R363" t="inlineStr">
        <is>
          <t xml:space="preserve">PG </t>
        </is>
      </c>
      <c r="S363" t="n">
        <v>0</v>
      </c>
      <c r="T363" t="n">
        <v>0</v>
      </c>
      <c r="U363" t="inlineStr">
        <is>
          <t>2008-12-17</t>
        </is>
      </c>
      <c r="V363" t="inlineStr">
        <is>
          <t>2008-12-17</t>
        </is>
      </c>
      <c r="W363" t="inlineStr">
        <is>
          <t>1993-04-28</t>
        </is>
      </c>
      <c r="X363" t="inlineStr">
        <is>
          <t>1993-04-28</t>
        </is>
      </c>
      <c r="Y363" t="n">
        <v>482</v>
      </c>
      <c r="Z363" t="n">
        <v>420</v>
      </c>
      <c r="AA363" t="n">
        <v>487</v>
      </c>
      <c r="AB363" t="n">
        <v>2</v>
      </c>
      <c r="AC363" t="n">
        <v>3</v>
      </c>
      <c r="AD363" t="n">
        <v>17</v>
      </c>
      <c r="AE363" t="n">
        <v>21</v>
      </c>
      <c r="AF363" t="n">
        <v>4</v>
      </c>
      <c r="AG363" t="n">
        <v>6</v>
      </c>
      <c r="AH363" t="n">
        <v>6</v>
      </c>
      <c r="AI363" t="n">
        <v>6</v>
      </c>
      <c r="AJ363" t="n">
        <v>11</v>
      </c>
      <c r="AK363" t="n">
        <v>13</v>
      </c>
      <c r="AL363" t="n">
        <v>1</v>
      </c>
      <c r="AM363" t="n">
        <v>2</v>
      </c>
      <c r="AN363" t="n">
        <v>0</v>
      </c>
      <c r="AO363" t="n">
        <v>0</v>
      </c>
      <c r="AP363" t="inlineStr">
        <is>
          <t>No</t>
        </is>
      </c>
      <c r="AQ363" t="inlineStr">
        <is>
          <t>Yes</t>
        </is>
      </c>
      <c r="AR363">
        <f>HYPERLINK("http://catalog.hathitrust.org/Record/000157024","HathiTrust Record")</f>
        <v/>
      </c>
      <c r="AS363">
        <f>HYPERLINK("https://creighton-primo.hosted.exlibrisgroup.com/primo-explore/search?tab=default_tab&amp;search_scope=EVERYTHING&amp;vid=01CRU&amp;lang=en_US&amp;offset=0&amp;query=any,contains,991000241909702656","Catalog Record")</f>
        <v/>
      </c>
      <c r="AT363">
        <f>HYPERLINK("http://www.worldcat.org/oclc/9684878","WorldCat Record")</f>
        <v/>
      </c>
      <c r="AU363" t="inlineStr">
        <is>
          <t>9937387546:eng</t>
        </is>
      </c>
      <c r="AV363" t="inlineStr">
        <is>
          <t>9684878</t>
        </is>
      </c>
      <c r="AW363" t="inlineStr">
        <is>
          <t>991000241909702656</t>
        </is>
      </c>
      <c r="AX363" t="inlineStr">
        <is>
          <t>991000241909702656</t>
        </is>
      </c>
      <c r="AY363" t="inlineStr">
        <is>
          <t>2260862760002656</t>
        </is>
      </c>
      <c r="AZ363" t="inlineStr">
        <is>
          <t>BOOK</t>
        </is>
      </c>
      <c r="BB363" t="inlineStr">
        <is>
          <t>9780253115959</t>
        </is>
      </c>
      <c r="BC363" t="inlineStr">
        <is>
          <t>32285001649739</t>
        </is>
      </c>
      <c r="BD363" t="inlineStr">
        <is>
          <t>893796528</t>
        </is>
      </c>
    </row>
    <row r="364">
      <c r="A364" t="inlineStr">
        <is>
          <t>No</t>
        </is>
      </c>
      <c r="B364" t="inlineStr">
        <is>
          <t>PG3478.K7 M6713 1994</t>
        </is>
      </c>
      <c r="C364" t="inlineStr">
        <is>
          <t>0                      PG 3478000K  7                  M  6713        1994</t>
        </is>
      </c>
      <c r="D364" t="inlineStr">
        <is>
          <t>Generations of winter / Vassily Aksyonov ; translated from the Russian by John Glad and Christopher Morris.</t>
        </is>
      </c>
      <c r="F364" t="inlineStr">
        <is>
          <t>No</t>
        </is>
      </c>
      <c r="G364" t="inlineStr">
        <is>
          <t>1</t>
        </is>
      </c>
      <c r="H364" t="inlineStr">
        <is>
          <t>No</t>
        </is>
      </c>
      <c r="I364" t="inlineStr">
        <is>
          <t>No</t>
        </is>
      </c>
      <c r="J364" t="inlineStr">
        <is>
          <t>0</t>
        </is>
      </c>
      <c r="K364" t="inlineStr">
        <is>
          <t>Aksenov, Vasiliĭ, 1932-2009.</t>
        </is>
      </c>
      <c r="L364" t="inlineStr">
        <is>
          <t>New York : Random House, 1994.</t>
        </is>
      </c>
      <c r="M364" t="inlineStr">
        <is>
          <t>1994</t>
        </is>
      </c>
      <c r="N364" t="inlineStr">
        <is>
          <t>1st ed.</t>
        </is>
      </c>
      <c r="O364" t="inlineStr">
        <is>
          <t>eng</t>
        </is>
      </c>
      <c r="P364" t="inlineStr">
        <is>
          <t>nyu</t>
        </is>
      </c>
      <c r="R364" t="inlineStr">
        <is>
          <t xml:space="preserve">PG </t>
        </is>
      </c>
      <c r="S364" t="n">
        <v>4</v>
      </c>
      <c r="T364" t="n">
        <v>4</v>
      </c>
      <c r="U364" t="inlineStr">
        <is>
          <t>1994-11-02</t>
        </is>
      </c>
      <c r="V364" t="inlineStr">
        <is>
          <t>1994-11-02</t>
        </is>
      </c>
      <c r="W364" t="inlineStr">
        <is>
          <t>1994-10-11</t>
        </is>
      </c>
      <c r="X364" t="inlineStr">
        <is>
          <t>1994-10-11</t>
        </is>
      </c>
      <c r="Y364" t="n">
        <v>596</v>
      </c>
      <c r="Z364" t="n">
        <v>559</v>
      </c>
      <c r="AA364" t="n">
        <v>647</v>
      </c>
      <c r="AB364" t="n">
        <v>4</v>
      </c>
      <c r="AC364" t="n">
        <v>4</v>
      </c>
      <c r="AD364" t="n">
        <v>21</v>
      </c>
      <c r="AE364" t="n">
        <v>25</v>
      </c>
      <c r="AF364" t="n">
        <v>4</v>
      </c>
      <c r="AG364" t="n">
        <v>5</v>
      </c>
      <c r="AH364" t="n">
        <v>7</v>
      </c>
      <c r="AI364" t="n">
        <v>8</v>
      </c>
      <c r="AJ364" t="n">
        <v>13</v>
      </c>
      <c r="AK364" t="n">
        <v>15</v>
      </c>
      <c r="AL364" t="n">
        <v>3</v>
      </c>
      <c r="AM364" t="n">
        <v>3</v>
      </c>
      <c r="AN364" t="n">
        <v>0</v>
      </c>
      <c r="AO364" t="n">
        <v>0</v>
      </c>
      <c r="AP364" t="inlineStr">
        <is>
          <t>No</t>
        </is>
      </c>
      <c r="AQ364" t="inlineStr">
        <is>
          <t>Yes</t>
        </is>
      </c>
      <c r="AR364">
        <f>HYPERLINK("http://catalog.hathitrust.org/Record/002978450","HathiTrust Record")</f>
        <v/>
      </c>
      <c r="AS364">
        <f>HYPERLINK("https://creighton-primo.hosted.exlibrisgroup.com/primo-explore/search?tab=default_tab&amp;search_scope=EVERYTHING&amp;vid=01CRU&amp;lang=en_US&amp;offset=0&amp;query=any,contains,991002223209702656","Catalog Record")</f>
        <v/>
      </c>
      <c r="AT364">
        <f>HYPERLINK("http://www.worldcat.org/oclc/28633860","WorldCat Record")</f>
        <v/>
      </c>
      <c r="AU364" t="inlineStr">
        <is>
          <t>3377230239:eng</t>
        </is>
      </c>
      <c r="AV364" t="inlineStr">
        <is>
          <t>28633860</t>
        </is>
      </c>
      <c r="AW364" t="inlineStr">
        <is>
          <t>991002223209702656</t>
        </is>
      </c>
      <c r="AX364" t="inlineStr">
        <is>
          <t>991002223209702656</t>
        </is>
      </c>
      <c r="AY364" t="inlineStr">
        <is>
          <t>2257724370002656</t>
        </is>
      </c>
      <c r="AZ364" t="inlineStr">
        <is>
          <t>BOOK</t>
        </is>
      </c>
      <c r="BB364" t="inlineStr">
        <is>
          <t>9780394569611</t>
        </is>
      </c>
      <c r="BC364" t="inlineStr">
        <is>
          <t>32285001949287</t>
        </is>
      </c>
      <c r="BD364" t="inlineStr">
        <is>
          <t>893414964</t>
        </is>
      </c>
    </row>
    <row r="365">
      <c r="A365" t="inlineStr">
        <is>
          <t>No</t>
        </is>
      </c>
      <c r="B365" t="inlineStr">
        <is>
          <t>PG3479.4.I8 P813 1998</t>
        </is>
      </c>
      <c r="C365" t="inlineStr">
        <is>
          <t>0                      PG 3479400I  8                  P  813         1998</t>
        </is>
      </c>
      <c r="D365" t="inlineStr">
        <is>
          <t>Pushkin House / Andrei Bitov ; translated by Susan Brownsberger.</t>
        </is>
      </c>
      <c r="F365" t="inlineStr">
        <is>
          <t>No</t>
        </is>
      </c>
      <c r="G365" t="inlineStr">
        <is>
          <t>1</t>
        </is>
      </c>
      <c r="H365" t="inlineStr">
        <is>
          <t>No</t>
        </is>
      </c>
      <c r="I365" t="inlineStr">
        <is>
          <t>No</t>
        </is>
      </c>
      <c r="J365" t="inlineStr">
        <is>
          <t>0</t>
        </is>
      </c>
      <c r="K365" t="inlineStr">
        <is>
          <t>Bitov, Andreĭ.</t>
        </is>
      </c>
      <c r="L365" t="inlineStr">
        <is>
          <t>Normal, IL : Dalkey Archive Press, 1998.</t>
        </is>
      </c>
      <c r="M365" t="inlineStr">
        <is>
          <t>1998</t>
        </is>
      </c>
      <c r="N365" t="inlineStr">
        <is>
          <t>1st Dalkey Archive ed.</t>
        </is>
      </c>
      <c r="O365" t="inlineStr">
        <is>
          <t>eng</t>
        </is>
      </c>
      <c r="P365" t="inlineStr">
        <is>
          <t>ilu</t>
        </is>
      </c>
      <c r="R365" t="inlineStr">
        <is>
          <t xml:space="preserve">PG </t>
        </is>
      </c>
      <c r="S365" t="n">
        <v>1</v>
      </c>
      <c r="T365" t="n">
        <v>1</v>
      </c>
      <c r="U365" t="inlineStr">
        <is>
          <t>2005-04-05</t>
        </is>
      </c>
      <c r="V365" t="inlineStr">
        <is>
          <t>2005-04-05</t>
        </is>
      </c>
      <c r="W365" t="inlineStr">
        <is>
          <t>2005-04-05</t>
        </is>
      </c>
      <c r="X365" t="inlineStr">
        <is>
          <t>2005-04-05</t>
        </is>
      </c>
      <c r="Y365" t="n">
        <v>181</v>
      </c>
      <c r="Z365" t="n">
        <v>164</v>
      </c>
      <c r="AA365" t="n">
        <v>603</v>
      </c>
      <c r="AB365" t="n">
        <v>2</v>
      </c>
      <c r="AC365" t="n">
        <v>6</v>
      </c>
      <c r="AD365" t="n">
        <v>9</v>
      </c>
      <c r="AE365" t="n">
        <v>28</v>
      </c>
      <c r="AF365" t="n">
        <v>4</v>
      </c>
      <c r="AG365" t="n">
        <v>10</v>
      </c>
      <c r="AH365" t="n">
        <v>1</v>
      </c>
      <c r="AI365" t="n">
        <v>6</v>
      </c>
      <c r="AJ365" t="n">
        <v>5</v>
      </c>
      <c r="AK365" t="n">
        <v>15</v>
      </c>
      <c r="AL365" t="n">
        <v>1</v>
      </c>
      <c r="AM365" t="n">
        <v>4</v>
      </c>
      <c r="AN365" t="n">
        <v>0</v>
      </c>
      <c r="AO365" t="n">
        <v>0</v>
      </c>
      <c r="AP365" t="inlineStr">
        <is>
          <t>No</t>
        </is>
      </c>
      <c r="AQ365" t="inlineStr">
        <is>
          <t>No</t>
        </is>
      </c>
      <c r="AS365">
        <f>HYPERLINK("https://creighton-primo.hosted.exlibrisgroup.com/primo-explore/search?tab=default_tab&amp;search_scope=EVERYTHING&amp;vid=01CRU&amp;lang=en_US&amp;offset=0&amp;query=any,contains,991004505649702656","Catalog Record")</f>
        <v/>
      </c>
      <c r="AT365">
        <f>HYPERLINK("http://www.worldcat.org/oclc/39157634","WorldCat Record")</f>
        <v/>
      </c>
      <c r="AU365" t="inlineStr">
        <is>
          <t>5453835432:eng</t>
        </is>
      </c>
      <c r="AV365" t="inlineStr">
        <is>
          <t>39157634</t>
        </is>
      </c>
      <c r="AW365" t="inlineStr">
        <is>
          <t>991004505649702656</t>
        </is>
      </c>
      <c r="AX365" t="inlineStr">
        <is>
          <t>991004505649702656</t>
        </is>
      </c>
      <c r="AY365" t="inlineStr">
        <is>
          <t>2266065260002656</t>
        </is>
      </c>
      <c r="AZ365" t="inlineStr">
        <is>
          <t>BOOK</t>
        </is>
      </c>
      <c r="BB365" t="inlineStr">
        <is>
          <t>9781564782007</t>
        </is>
      </c>
      <c r="BC365" t="inlineStr">
        <is>
          <t>32285005047823</t>
        </is>
      </c>
      <c r="BD365" t="inlineStr">
        <is>
          <t>893442684</t>
        </is>
      </c>
    </row>
    <row r="366">
      <c r="A366" t="inlineStr">
        <is>
          <t>No</t>
        </is>
      </c>
      <c r="B366" t="inlineStr">
        <is>
          <t>PG3479.4.R64 C4513 1980</t>
        </is>
      </c>
      <c r="C366" t="inlineStr">
        <is>
          <t>0                      PG 3479400R  64                 C  4513        1980</t>
        </is>
      </c>
      <c r="D366" t="inlineStr">
        <is>
          <t>A part of speech / Joseph Brodsky.</t>
        </is>
      </c>
      <c r="F366" t="inlineStr">
        <is>
          <t>No</t>
        </is>
      </c>
      <c r="G366" t="inlineStr">
        <is>
          <t>1</t>
        </is>
      </c>
      <c r="H366" t="inlineStr">
        <is>
          <t>No</t>
        </is>
      </c>
      <c r="I366" t="inlineStr">
        <is>
          <t>No</t>
        </is>
      </c>
      <c r="J366" t="inlineStr">
        <is>
          <t>0</t>
        </is>
      </c>
      <c r="K366" t="inlineStr">
        <is>
          <t>Brodsky, Joseph, 1940-1996.</t>
        </is>
      </c>
      <c r="L366" t="inlineStr">
        <is>
          <t>New York : Farrar, Straus, Giroux, 1980.</t>
        </is>
      </c>
      <c r="M366" t="inlineStr">
        <is>
          <t>1980</t>
        </is>
      </c>
      <c r="N366" t="inlineStr">
        <is>
          <t>1st ed.</t>
        </is>
      </c>
      <c r="O366" t="inlineStr">
        <is>
          <t>eng</t>
        </is>
      </c>
      <c r="P366" t="inlineStr">
        <is>
          <t>nyu</t>
        </is>
      </c>
      <c r="R366" t="inlineStr">
        <is>
          <t xml:space="preserve">PG </t>
        </is>
      </c>
      <c r="S366" t="n">
        <v>3</v>
      </c>
      <c r="T366" t="n">
        <v>3</v>
      </c>
      <c r="U366" t="inlineStr">
        <is>
          <t>1999-05-28</t>
        </is>
      </c>
      <c r="V366" t="inlineStr">
        <is>
          <t>1999-05-28</t>
        </is>
      </c>
      <c r="W366" t="inlineStr">
        <is>
          <t>1990-02-08</t>
        </is>
      </c>
      <c r="X366" t="inlineStr">
        <is>
          <t>1990-02-08</t>
        </is>
      </c>
      <c r="Y366" t="n">
        <v>943</v>
      </c>
      <c r="Z366" t="n">
        <v>864</v>
      </c>
      <c r="AA366" t="n">
        <v>881</v>
      </c>
      <c r="AB366" t="n">
        <v>7</v>
      </c>
      <c r="AC366" t="n">
        <v>7</v>
      </c>
      <c r="AD366" t="n">
        <v>37</v>
      </c>
      <c r="AE366" t="n">
        <v>38</v>
      </c>
      <c r="AF366" t="n">
        <v>14</v>
      </c>
      <c r="AG366" t="n">
        <v>14</v>
      </c>
      <c r="AH366" t="n">
        <v>8</v>
      </c>
      <c r="AI366" t="n">
        <v>9</v>
      </c>
      <c r="AJ366" t="n">
        <v>19</v>
      </c>
      <c r="AK366" t="n">
        <v>20</v>
      </c>
      <c r="AL366" t="n">
        <v>6</v>
      </c>
      <c r="AM366" t="n">
        <v>6</v>
      </c>
      <c r="AN366" t="n">
        <v>0</v>
      </c>
      <c r="AO366" t="n">
        <v>0</v>
      </c>
      <c r="AP366" t="inlineStr">
        <is>
          <t>No</t>
        </is>
      </c>
      <c r="AQ366" t="inlineStr">
        <is>
          <t>No</t>
        </is>
      </c>
      <c r="AS366">
        <f>HYPERLINK("https://creighton-primo.hosted.exlibrisgroup.com/primo-explore/search?tab=default_tab&amp;search_scope=EVERYTHING&amp;vid=01CRU&amp;lang=en_US&amp;offset=0&amp;query=any,contains,991004929139702656","Catalog Record")</f>
        <v/>
      </c>
      <c r="AT366">
        <f>HYPERLINK("http://www.worldcat.org/oclc/6091964","WorldCat Record")</f>
        <v/>
      </c>
      <c r="AU366" t="inlineStr">
        <is>
          <t>4160245774:eng</t>
        </is>
      </c>
      <c r="AV366" t="inlineStr">
        <is>
          <t>6091964</t>
        </is>
      </c>
      <c r="AW366" t="inlineStr">
        <is>
          <t>991004929139702656</t>
        </is>
      </c>
      <c r="AX366" t="inlineStr">
        <is>
          <t>991004929139702656</t>
        </is>
      </c>
      <c r="AY366" t="inlineStr">
        <is>
          <t>2263814130002656</t>
        </is>
      </c>
      <c r="AZ366" t="inlineStr">
        <is>
          <t>BOOK</t>
        </is>
      </c>
      <c r="BB366" t="inlineStr">
        <is>
          <t>9780374229870</t>
        </is>
      </c>
      <c r="BC366" t="inlineStr">
        <is>
          <t>32285000040401</t>
        </is>
      </c>
      <c r="BD366" t="inlineStr">
        <is>
          <t>893412087</t>
        </is>
      </c>
    </row>
    <row r="367">
      <c r="A367" t="inlineStr">
        <is>
          <t>No</t>
        </is>
      </c>
      <c r="B367" t="inlineStr">
        <is>
          <t>PG3479.4.R64 M713 1989</t>
        </is>
      </c>
      <c r="C367" t="inlineStr">
        <is>
          <t>0                      PG 3479400R  64                 M  713         1989</t>
        </is>
      </c>
      <c r="D367" t="inlineStr">
        <is>
          <t>Marbles : a play in three acts / Joseph Brodsky ; translated by Alan Myers, with the author.</t>
        </is>
      </c>
      <c r="F367" t="inlineStr">
        <is>
          <t>No</t>
        </is>
      </c>
      <c r="G367" t="inlineStr">
        <is>
          <t>1</t>
        </is>
      </c>
      <c r="H367" t="inlineStr">
        <is>
          <t>No</t>
        </is>
      </c>
      <c r="I367" t="inlineStr">
        <is>
          <t>No</t>
        </is>
      </c>
      <c r="J367" t="inlineStr">
        <is>
          <t>0</t>
        </is>
      </c>
      <c r="K367" t="inlineStr">
        <is>
          <t>Brodsky, Joseph, 1940-1996.</t>
        </is>
      </c>
      <c r="L367" t="inlineStr">
        <is>
          <t>New York : Farrar, Straus, Giroux, c1989.</t>
        </is>
      </c>
      <c r="M367" t="inlineStr">
        <is>
          <t>1989</t>
        </is>
      </c>
      <c r="N367" t="inlineStr">
        <is>
          <t>1st ed.</t>
        </is>
      </c>
      <c r="O367" t="inlineStr">
        <is>
          <t>eng</t>
        </is>
      </c>
      <c r="P367" t="inlineStr">
        <is>
          <t>nyu</t>
        </is>
      </c>
      <c r="R367" t="inlineStr">
        <is>
          <t xml:space="preserve">PG </t>
        </is>
      </c>
      <c r="S367" t="n">
        <v>1</v>
      </c>
      <c r="T367" t="n">
        <v>1</v>
      </c>
      <c r="U367" t="inlineStr">
        <is>
          <t>2005-09-06</t>
        </is>
      </c>
      <c r="V367" t="inlineStr">
        <is>
          <t>2005-09-06</t>
        </is>
      </c>
      <c r="W367" t="inlineStr">
        <is>
          <t>1990-07-19</t>
        </is>
      </c>
      <c r="X367" t="inlineStr">
        <is>
          <t>1990-07-19</t>
        </is>
      </c>
      <c r="Y367" t="n">
        <v>264</v>
      </c>
      <c r="Z367" t="n">
        <v>250</v>
      </c>
      <c r="AA367" t="n">
        <v>329</v>
      </c>
      <c r="AB367" t="n">
        <v>5</v>
      </c>
      <c r="AC367" t="n">
        <v>5</v>
      </c>
      <c r="AD367" t="n">
        <v>13</v>
      </c>
      <c r="AE367" t="n">
        <v>18</v>
      </c>
      <c r="AF367" t="n">
        <v>4</v>
      </c>
      <c r="AG367" t="n">
        <v>4</v>
      </c>
      <c r="AH367" t="n">
        <v>1</v>
      </c>
      <c r="AI367" t="n">
        <v>3</v>
      </c>
      <c r="AJ367" t="n">
        <v>6</v>
      </c>
      <c r="AK367" t="n">
        <v>10</v>
      </c>
      <c r="AL367" t="n">
        <v>4</v>
      </c>
      <c r="AM367" t="n">
        <v>4</v>
      </c>
      <c r="AN367" t="n">
        <v>0</v>
      </c>
      <c r="AO367" t="n">
        <v>0</v>
      </c>
      <c r="AP367" t="inlineStr">
        <is>
          <t>No</t>
        </is>
      </c>
      <c r="AQ367" t="inlineStr">
        <is>
          <t>Yes</t>
        </is>
      </c>
      <c r="AR367">
        <f>HYPERLINK("http://catalog.hathitrust.org/Record/001952691","HathiTrust Record")</f>
        <v/>
      </c>
      <c r="AS367">
        <f>HYPERLINK("https://creighton-primo.hosted.exlibrisgroup.com/primo-explore/search?tab=default_tab&amp;search_scope=EVERYTHING&amp;vid=01CRU&amp;lang=en_US&amp;offset=0&amp;query=any,contains,991001315119702656","Catalog Record")</f>
        <v/>
      </c>
      <c r="AT367">
        <f>HYPERLINK("http://www.worldcat.org/oclc/18167170","WorldCat Record")</f>
        <v/>
      </c>
      <c r="AU367" t="inlineStr">
        <is>
          <t>55696540:eng</t>
        </is>
      </c>
      <c r="AV367" t="inlineStr">
        <is>
          <t>18167170</t>
        </is>
      </c>
      <c r="AW367" t="inlineStr">
        <is>
          <t>991001315119702656</t>
        </is>
      </c>
      <c r="AX367" t="inlineStr">
        <is>
          <t>991001315119702656</t>
        </is>
      </c>
      <c r="AY367" t="inlineStr">
        <is>
          <t>2263967570002656</t>
        </is>
      </c>
      <c r="AZ367" t="inlineStr">
        <is>
          <t>BOOK</t>
        </is>
      </c>
      <c r="BB367" t="inlineStr">
        <is>
          <t>9780374521165</t>
        </is>
      </c>
      <c r="BC367" t="inlineStr">
        <is>
          <t>32285000209048</t>
        </is>
      </c>
      <c r="BD367" t="inlineStr">
        <is>
          <t>893596404</t>
        </is>
      </c>
    </row>
    <row r="368">
      <c r="A368" t="inlineStr">
        <is>
          <t>No</t>
        </is>
      </c>
      <c r="B368" t="inlineStr">
        <is>
          <t>PG3479.4.R64 R6913 2001</t>
        </is>
      </c>
      <c r="C368" t="inlineStr">
        <is>
          <t>0                      PG 3479400R  64                 R  6913        2001</t>
        </is>
      </c>
      <c r="D368" t="inlineStr">
        <is>
          <t>Nativity poems / Joseph Brodsky ; translated by Melissa Green ... [et al.] ; with photographs by Mikhail Lemkhin.</t>
        </is>
      </c>
      <c r="F368" t="inlineStr">
        <is>
          <t>No</t>
        </is>
      </c>
      <c r="G368" t="inlineStr">
        <is>
          <t>1</t>
        </is>
      </c>
      <c r="H368" t="inlineStr">
        <is>
          <t>No</t>
        </is>
      </c>
      <c r="I368" t="inlineStr">
        <is>
          <t>No</t>
        </is>
      </c>
      <c r="J368" t="inlineStr">
        <is>
          <t>0</t>
        </is>
      </c>
      <c r="K368" t="inlineStr">
        <is>
          <t>Brodsky, Joseph, 1940-1996.</t>
        </is>
      </c>
      <c r="L368" t="inlineStr">
        <is>
          <t>New York : Farrar, Straus, and Giroux, 2001.</t>
        </is>
      </c>
      <c r="M368" t="inlineStr">
        <is>
          <t>2001</t>
        </is>
      </c>
      <c r="N368" t="inlineStr">
        <is>
          <t>1st American ed.</t>
        </is>
      </c>
      <c r="O368" t="inlineStr">
        <is>
          <t>eng</t>
        </is>
      </c>
      <c r="P368" t="inlineStr">
        <is>
          <t>nyu</t>
        </is>
      </c>
      <c r="R368" t="inlineStr">
        <is>
          <t xml:space="preserve">PG </t>
        </is>
      </c>
      <c r="S368" t="n">
        <v>2</v>
      </c>
      <c r="T368" t="n">
        <v>2</v>
      </c>
      <c r="U368" t="inlineStr">
        <is>
          <t>2003-07-10</t>
        </is>
      </c>
      <c r="V368" t="inlineStr">
        <is>
          <t>2003-07-10</t>
        </is>
      </c>
      <c r="W368" t="inlineStr">
        <is>
          <t>2003-06-23</t>
        </is>
      </c>
      <c r="X368" t="inlineStr">
        <is>
          <t>2003-06-23</t>
        </is>
      </c>
      <c r="Y368" t="n">
        <v>512</v>
      </c>
      <c r="Z368" t="n">
        <v>477</v>
      </c>
      <c r="AA368" t="n">
        <v>486</v>
      </c>
      <c r="AB368" t="n">
        <v>3</v>
      </c>
      <c r="AC368" t="n">
        <v>3</v>
      </c>
      <c r="AD368" t="n">
        <v>21</v>
      </c>
      <c r="AE368" t="n">
        <v>21</v>
      </c>
      <c r="AF368" t="n">
        <v>8</v>
      </c>
      <c r="AG368" t="n">
        <v>8</v>
      </c>
      <c r="AH368" t="n">
        <v>7</v>
      </c>
      <c r="AI368" t="n">
        <v>7</v>
      </c>
      <c r="AJ368" t="n">
        <v>10</v>
      </c>
      <c r="AK368" t="n">
        <v>10</v>
      </c>
      <c r="AL368" t="n">
        <v>2</v>
      </c>
      <c r="AM368" t="n">
        <v>2</v>
      </c>
      <c r="AN368" t="n">
        <v>0</v>
      </c>
      <c r="AO368" t="n">
        <v>0</v>
      </c>
      <c r="AP368" t="inlineStr">
        <is>
          <t>No</t>
        </is>
      </c>
      <c r="AQ368" t="inlineStr">
        <is>
          <t>No</t>
        </is>
      </c>
      <c r="AS368">
        <f>HYPERLINK("https://creighton-primo.hosted.exlibrisgroup.com/primo-explore/search?tab=default_tab&amp;search_scope=EVERYTHING&amp;vid=01CRU&amp;lang=en_US&amp;offset=0&amp;query=any,contains,991004072979702656","Catalog Record")</f>
        <v/>
      </c>
      <c r="AT368">
        <f>HYPERLINK("http://www.worldcat.org/oclc/47283191","WorldCat Record")</f>
        <v/>
      </c>
      <c r="AU368" t="inlineStr">
        <is>
          <t>1909374257:eng</t>
        </is>
      </c>
      <c r="AV368" t="inlineStr">
        <is>
          <t>47283191</t>
        </is>
      </c>
      <c r="AW368" t="inlineStr">
        <is>
          <t>991004072979702656</t>
        </is>
      </c>
      <c r="AX368" t="inlineStr">
        <is>
          <t>991004072979702656</t>
        </is>
      </c>
      <c r="AY368" t="inlineStr">
        <is>
          <t>2264772030002656</t>
        </is>
      </c>
      <c r="AZ368" t="inlineStr">
        <is>
          <t>BOOK</t>
        </is>
      </c>
      <c r="BB368" t="inlineStr">
        <is>
          <t>9780374219406</t>
        </is>
      </c>
      <c r="BC368" t="inlineStr">
        <is>
          <t>32285004754155</t>
        </is>
      </c>
      <c r="BD368" t="inlineStr">
        <is>
          <t>893512789</t>
        </is>
      </c>
    </row>
    <row r="369">
      <c r="A369" t="inlineStr">
        <is>
          <t>No</t>
        </is>
      </c>
      <c r="B369" t="inlineStr">
        <is>
          <t>PG3479.4.R64 Z468 2002</t>
        </is>
      </c>
      <c r="C369" t="inlineStr">
        <is>
          <t>0                      PG 3479400R  64                 Z  468         2002</t>
        </is>
      </c>
      <c r="D369" t="inlineStr">
        <is>
          <t>Joseph Brodsky : conversations / edited by Cynthia L. Haven.</t>
        </is>
      </c>
      <c r="F369" t="inlineStr">
        <is>
          <t>No</t>
        </is>
      </c>
      <c r="G369" t="inlineStr">
        <is>
          <t>1</t>
        </is>
      </c>
      <c r="H369" t="inlineStr">
        <is>
          <t>No</t>
        </is>
      </c>
      <c r="I369" t="inlineStr">
        <is>
          <t>No</t>
        </is>
      </c>
      <c r="J369" t="inlineStr">
        <is>
          <t>0</t>
        </is>
      </c>
      <c r="K369" t="inlineStr">
        <is>
          <t>Brodsky, Joseph, 1940-1996.</t>
        </is>
      </c>
      <c r="L369" t="inlineStr">
        <is>
          <t>Jackson : University Press of Mississippi, c2002.</t>
        </is>
      </c>
      <c r="M369" t="inlineStr">
        <is>
          <t>2002</t>
        </is>
      </c>
      <c r="O369" t="inlineStr">
        <is>
          <t>eng</t>
        </is>
      </c>
      <c r="P369" t="inlineStr">
        <is>
          <t>msu</t>
        </is>
      </c>
      <c r="Q369" t="inlineStr">
        <is>
          <t>Literary conversations series</t>
        </is>
      </c>
      <c r="R369" t="inlineStr">
        <is>
          <t xml:space="preserve">PG </t>
        </is>
      </c>
      <c r="S369" t="n">
        <v>3</v>
      </c>
      <c r="T369" t="n">
        <v>3</v>
      </c>
      <c r="U369" t="inlineStr">
        <is>
          <t>2005-09-06</t>
        </is>
      </c>
      <c r="V369" t="inlineStr">
        <is>
          <t>2005-09-06</t>
        </is>
      </c>
      <c r="W369" t="inlineStr">
        <is>
          <t>2003-06-23</t>
        </is>
      </c>
      <c r="X369" t="inlineStr">
        <is>
          <t>2003-06-23</t>
        </is>
      </c>
      <c r="Y369" t="n">
        <v>256</v>
      </c>
      <c r="Z369" t="n">
        <v>232</v>
      </c>
      <c r="AA369" t="n">
        <v>235</v>
      </c>
      <c r="AB369" t="n">
        <v>1</v>
      </c>
      <c r="AC369" t="n">
        <v>1</v>
      </c>
      <c r="AD369" t="n">
        <v>14</v>
      </c>
      <c r="AE369" t="n">
        <v>14</v>
      </c>
      <c r="AF369" t="n">
        <v>5</v>
      </c>
      <c r="AG369" t="n">
        <v>5</v>
      </c>
      <c r="AH369" t="n">
        <v>4</v>
      </c>
      <c r="AI369" t="n">
        <v>4</v>
      </c>
      <c r="AJ369" t="n">
        <v>8</v>
      </c>
      <c r="AK369" t="n">
        <v>8</v>
      </c>
      <c r="AL369" t="n">
        <v>0</v>
      </c>
      <c r="AM369" t="n">
        <v>0</v>
      </c>
      <c r="AN369" t="n">
        <v>0</v>
      </c>
      <c r="AO369" t="n">
        <v>0</v>
      </c>
      <c r="AP369" t="inlineStr">
        <is>
          <t>No</t>
        </is>
      </c>
      <c r="AQ369" t="inlineStr">
        <is>
          <t>Yes</t>
        </is>
      </c>
      <c r="AR369">
        <f>HYPERLINK("http://catalog.hathitrust.org/Record/004324386","HathiTrust Record")</f>
        <v/>
      </c>
      <c r="AS369">
        <f>HYPERLINK("https://creighton-primo.hosted.exlibrisgroup.com/primo-explore/search?tab=default_tab&amp;search_scope=EVERYTHING&amp;vid=01CRU&amp;lang=en_US&amp;offset=0&amp;query=any,contains,991004073039702656","Catalog Record")</f>
        <v/>
      </c>
      <c r="AT369">
        <f>HYPERLINK("http://www.worldcat.org/oclc/50424388","WorldCat Record")</f>
        <v/>
      </c>
      <c r="AU369" t="inlineStr">
        <is>
          <t>1807134273:eng</t>
        </is>
      </c>
      <c r="AV369" t="inlineStr">
        <is>
          <t>50424388</t>
        </is>
      </c>
      <c r="AW369" t="inlineStr">
        <is>
          <t>991004073039702656</t>
        </is>
      </c>
      <c r="AX369" t="inlineStr">
        <is>
          <t>991004073039702656</t>
        </is>
      </c>
      <c r="AY369" t="inlineStr">
        <is>
          <t>2272407410002656</t>
        </is>
      </c>
      <c r="AZ369" t="inlineStr">
        <is>
          <t>BOOK</t>
        </is>
      </c>
      <c r="BB369" t="inlineStr">
        <is>
          <t>9781578065271</t>
        </is>
      </c>
      <c r="BC369" t="inlineStr">
        <is>
          <t>32285004753850</t>
        </is>
      </c>
      <c r="BD369" t="inlineStr">
        <is>
          <t>893535809</t>
        </is>
      </c>
    </row>
    <row r="370">
      <c r="A370" t="inlineStr">
        <is>
          <t>No</t>
        </is>
      </c>
      <c r="B370" t="inlineStr">
        <is>
          <t>PG3479.4.R64 Z84 1989</t>
        </is>
      </c>
      <c r="C370" t="inlineStr">
        <is>
          <t>0                      PG 3479400R  64                 Z  84          1989</t>
        </is>
      </c>
      <c r="D370" t="inlineStr">
        <is>
          <t>Joseph Brodsky : a poet for our time / Valentina Polukhina.</t>
        </is>
      </c>
      <c r="F370" t="inlineStr">
        <is>
          <t>No</t>
        </is>
      </c>
      <c r="G370" t="inlineStr">
        <is>
          <t>1</t>
        </is>
      </c>
      <c r="H370" t="inlineStr">
        <is>
          <t>No</t>
        </is>
      </c>
      <c r="I370" t="inlineStr">
        <is>
          <t>No</t>
        </is>
      </c>
      <c r="J370" t="inlineStr">
        <is>
          <t>0</t>
        </is>
      </c>
      <c r="K370" t="inlineStr">
        <is>
          <t>Polukhina, Valentina.</t>
        </is>
      </c>
      <c r="L370" t="inlineStr">
        <is>
          <t>Cambridge [England] ; New York : Cambridge University Press, 1989.</t>
        </is>
      </c>
      <c r="M370" t="inlineStr">
        <is>
          <t>1989</t>
        </is>
      </c>
      <c r="O370" t="inlineStr">
        <is>
          <t>eng</t>
        </is>
      </c>
      <c r="P370" t="inlineStr">
        <is>
          <t>enk</t>
        </is>
      </c>
      <c r="Q370" t="inlineStr">
        <is>
          <t>Cambridge studies in Russian literature</t>
        </is>
      </c>
      <c r="R370" t="inlineStr">
        <is>
          <t xml:space="preserve">PG </t>
        </is>
      </c>
      <c r="S370" t="n">
        <v>2</v>
      </c>
      <c r="T370" t="n">
        <v>2</v>
      </c>
      <c r="U370" t="inlineStr">
        <is>
          <t>1999-05-28</t>
        </is>
      </c>
      <c r="V370" t="inlineStr">
        <is>
          <t>1999-05-28</t>
        </is>
      </c>
      <c r="W370" t="inlineStr">
        <is>
          <t>1993-06-01</t>
        </is>
      </c>
      <c r="X370" t="inlineStr">
        <is>
          <t>1993-06-01</t>
        </is>
      </c>
      <c r="Y370" t="n">
        <v>388</v>
      </c>
      <c r="Z370" t="n">
        <v>289</v>
      </c>
      <c r="AA370" t="n">
        <v>289</v>
      </c>
      <c r="AB370" t="n">
        <v>2</v>
      </c>
      <c r="AC370" t="n">
        <v>2</v>
      </c>
      <c r="AD370" t="n">
        <v>12</v>
      </c>
      <c r="AE370" t="n">
        <v>12</v>
      </c>
      <c r="AF370" t="n">
        <v>2</v>
      </c>
      <c r="AG370" t="n">
        <v>2</v>
      </c>
      <c r="AH370" t="n">
        <v>4</v>
      </c>
      <c r="AI370" t="n">
        <v>4</v>
      </c>
      <c r="AJ370" t="n">
        <v>9</v>
      </c>
      <c r="AK370" t="n">
        <v>9</v>
      </c>
      <c r="AL370" t="n">
        <v>1</v>
      </c>
      <c r="AM370" t="n">
        <v>1</v>
      </c>
      <c r="AN370" t="n">
        <v>0</v>
      </c>
      <c r="AO370" t="n">
        <v>0</v>
      </c>
      <c r="AP370" t="inlineStr">
        <is>
          <t>No</t>
        </is>
      </c>
      <c r="AQ370" t="inlineStr">
        <is>
          <t>No</t>
        </is>
      </c>
      <c r="AS370">
        <f>HYPERLINK("https://creighton-primo.hosted.exlibrisgroup.com/primo-explore/search?tab=default_tab&amp;search_scope=EVERYTHING&amp;vid=01CRU&amp;lang=en_US&amp;offset=0&amp;query=any,contains,991001441859702656","Catalog Record")</f>
        <v/>
      </c>
      <c r="AT370">
        <f>HYPERLINK("http://www.worldcat.org/oclc/19263143","WorldCat Record")</f>
        <v/>
      </c>
      <c r="AU370" t="inlineStr">
        <is>
          <t>3943546498:eng</t>
        </is>
      </c>
      <c r="AV370" t="inlineStr">
        <is>
          <t>19263143</t>
        </is>
      </c>
      <c r="AW370" t="inlineStr">
        <is>
          <t>991001441859702656</t>
        </is>
      </c>
      <c r="AX370" t="inlineStr">
        <is>
          <t>991001441859702656</t>
        </is>
      </c>
      <c r="AY370" t="inlineStr">
        <is>
          <t>2266127110002656</t>
        </is>
      </c>
      <c r="AZ370" t="inlineStr">
        <is>
          <t>BOOK</t>
        </is>
      </c>
      <c r="BB370" t="inlineStr">
        <is>
          <t>9780521334846</t>
        </is>
      </c>
      <c r="BC370" t="inlineStr">
        <is>
          <t>32285001583631</t>
        </is>
      </c>
      <c r="BD370" t="inlineStr">
        <is>
          <t>893621394</t>
        </is>
      </c>
    </row>
    <row r="371">
      <c r="A371" t="inlineStr">
        <is>
          <t>No</t>
        </is>
      </c>
      <c r="B371" t="inlineStr">
        <is>
          <t>PG3479.4.R64 Z93 1998</t>
        </is>
      </c>
      <c r="C371" t="inlineStr">
        <is>
          <t>0                      PG 3479400R  64                 Z  93          1998</t>
        </is>
      </c>
      <c r="D371" t="inlineStr">
        <is>
          <t>Conversations with Joseph Brodsky : a poet's journey through the twentieth century / Solomon Volkov ; translated by Marian Schwartz ; with photographs by Marianna Volkov.</t>
        </is>
      </c>
      <c r="F371" t="inlineStr">
        <is>
          <t>No</t>
        </is>
      </c>
      <c r="G371" t="inlineStr">
        <is>
          <t>1</t>
        </is>
      </c>
      <c r="H371" t="inlineStr">
        <is>
          <t>No</t>
        </is>
      </c>
      <c r="I371" t="inlineStr">
        <is>
          <t>No</t>
        </is>
      </c>
      <c r="J371" t="inlineStr">
        <is>
          <t>0</t>
        </is>
      </c>
      <c r="K371" t="inlineStr">
        <is>
          <t>Volkov, Solomon.</t>
        </is>
      </c>
      <c r="L371" t="inlineStr">
        <is>
          <t>New York : Free Press, c1998.</t>
        </is>
      </c>
      <c r="M371" t="inlineStr">
        <is>
          <t>1998</t>
        </is>
      </c>
      <c r="O371" t="inlineStr">
        <is>
          <t>eng</t>
        </is>
      </c>
      <c r="P371" t="inlineStr">
        <is>
          <t>nyu</t>
        </is>
      </c>
      <c r="R371" t="inlineStr">
        <is>
          <t xml:space="preserve">PG </t>
        </is>
      </c>
      <c r="S371" t="n">
        <v>1</v>
      </c>
      <c r="T371" t="n">
        <v>1</v>
      </c>
      <c r="U371" t="inlineStr">
        <is>
          <t>2005-09-06</t>
        </is>
      </c>
      <c r="V371" t="inlineStr">
        <is>
          <t>2005-09-06</t>
        </is>
      </c>
      <c r="W371" t="inlineStr">
        <is>
          <t>1998-03-04</t>
        </is>
      </c>
      <c r="X371" t="inlineStr">
        <is>
          <t>1998-03-04</t>
        </is>
      </c>
      <c r="Y371" t="n">
        <v>599</v>
      </c>
      <c r="Z371" t="n">
        <v>530</v>
      </c>
      <c r="AA371" t="n">
        <v>541</v>
      </c>
      <c r="AB371" t="n">
        <v>5</v>
      </c>
      <c r="AC371" t="n">
        <v>5</v>
      </c>
      <c r="AD371" t="n">
        <v>23</v>
      </c>
      <c r="AE371" t="n">
        <v>23</v>
      </c>
      <c r="AF371" t="n">
        <v>6</v>
      </c>
      <c r="AG371" t="n">
        <v>6</v>
      </c>
      <c r="AH371" t="n">
        <v>8</v>
      </c>
      <c r="AI371" t="n">
        <v>8</v>
      </c>
      <c r="AJ371" t="n">
        <v>12</v>
      </c>
      <c r="AK371" t="n">
        <v>12</v>
      </c>
      <c r="AL371" t="n">
        <v>4</v>
      </c>
      <c r="AM371" t="n">
        <v>4</v>
      </c>
      <c r="AN371" t="n">
        <v>0</v>
      </c>
      <c r="AO371" t="n">
        <v>0</v>
      </c>
      <c r="AP371" t="inlineStr">
        <is>
          <t>No</t>
        </is>
      </c>
      <c r="AQ371" t="inlineStr">
        <is>
          <t>No</t>
        </is>
      </c>
      <c r="AS371">
        <f>HYPERLINK("https://creighton-primo.hosted.exlibrisgroup.com/primo-explore/search?tab=default_tab&amp;search_scope=EVERYTHING&amp;vid=01CRU&amp;lang=en_US&amp;offset=0&amp;query=any,contains,991002841069702656","Catalog Record")</f>
        <v/>
      </c>
      <c r="AT371">
        <f>HYPERLINK("http://www.worldcat.org/oclc/37432797","WorldCat Record")</f>
        <v/>
      </c>
      <c r="AU371" t="inlineStr">
        <is>
          <t>572538:eng</t>
        </is>
      </c>
      <c r="AV371" t="inlineStr">
        <is>
          <t>37432797</t>
        </is>
      </c>
      <c r="AW371" t="inlineStr">
        <is>
          <t>991002841069702656</t>
        </is>
      </c>
      <c r="AX371" t="inlineStr">
        <is>
          <t>991002841069702656</t>
        </is>
      </c>
      <c r="AY371" t="inlineStr">
        <is>
          <t>2264829040002656</t>
        </is>
      </c>
      <c r="AZ371" t="inlineStr">
        <is>
          <t>BOOK</t>
        </is>
      </c>
      <c r="BB371" t="inlineStr">
        <is>
          <t>9780684835723</t>
        </is>
      </c>
      <c r="BC371" t="inlineStr">
        <is>
          <t>32285003354999</t>
        </is>
      </c>
      <c r="BD371" t="inlineStr">
        <is>
          <t>893805116</t>
        </is>
      </c>
    </row>
    <row r="372">
      <c r="A372" t="inlineStr">
        <is>
          <t>No</t>
        </is>
      </c>
      <c r="B372" t="inlineStr">
        <is>
          <t>PG3479.6.R9 A8413 2002</t>
        </is>
      </c>
      <c r="C372" t="inlineStr">
        <is>
          <t>0                      PG 3479600R  9                  A  8413        2002</t>
        </is>
      </c>
      <c r="D372" t="inlineStr">
        <is>
          <t>Angels on the head of a pin : a novel / Yuri Druzhnikov ; translated from the Russian by Thomas Moore.</t>
        </is>
      </c>
      <c r="F372" t="inlineStr">
        <is>
          <t>No</t>
        </is>
      </c>
      <c r="G372" t="inlineStr">
        <is>
          <t>1</t>
        </is>
      </c>
      <c r="H372" t="inlineStr">
        <is>
          <t>No</t>
        </is>
      </c>
      <c r="I372" t="inlineStr">
        <is>
          <t>No</t>
        </is>
      </c>
      <c r="J372" t="inlineStr">
        <is>
          <t>0</t>
        </is>
      </c>
      <c r="K372" t="inlineStr">
        <is>
          <t>Druzhnikov, I︠U︡riĭ, 1933-2008.</t>
        </is>
      </c>
      <c r="L372" t="inlineStr">
        <is>
          <t>London : Peter Owen ; Paris : UNESCO 2002.</t>
        </is>
      </c>
      <c r="M372" t="inlineStr">
        <is>
          <t>2002</t>
        </is>
      </c>
      <c r="O372" t="inlineStr">
        <is>
          <t>eng</t>
        </is>
      </c>
      <c r="P372" t="inlineStr">
        <is>
          <t>enk</t>
        </is>
      </c>
      <c r="Q372" t="inlineStr">
        <is>
          <t>UNESCO collection of representative works</t>
        </is>
      </c>
      <c r="R372" t="inlineStr">
        <is>
          <t xml:space="preserve">PG </t>
        </is>
      </c>
      <c r="S372" t="n">
        <v>1</v>
      </c>
      <c r="T372" t="n">
        <v>1</v>
      </c>
      <c r="U372" t="inlineStr">
        <is>
          <t>2006-03-17</t>
        </is>
      </c>
      <c r="V372" t="inlineStr">
        <is>
          <t>2006-03-17</t>
        </is>
      </c>
      <c r="W372" t="inlineStr">
        <is>
          <t>2004-01-20</t>
        </is>
      </c>
      <c r="X372" t="inlineStr">
        <is>
          <t>2004-01-20</t>
        </is>
      </c>
      <c r="Y372" t="n">
        <v>225</v>
      </c>
      <c r="Z372" t="n">
        <v>173</v>
      </c>
      <c r="AA372" t="n">
        <v>250</v>
      </c>
      <c r="AB372" t="n">
        <v>2</v>
      </c>
      <c r="AC372" t="n">
        <v>3</v>
      </c>
      <c r="AD372" t="n">
        <v>8</v>
      </c>
      <c r="AE372" t="n">
        <v>10</v>
      </c>
      <c r="AF372" t="n">
        <v>3</v>
      </c>
      <c r="AG372" t="n">
        <v>4</v>
      </c>
      <c r="AH372" t="n">
        <v>3</v>
      </c>
      <c r="AI372" t="n">
        <v>4</v>
      </c>
      <c r="AJ372" t="n">
        <v>3</v>
      </c>
      <c r="AK372" t="n">
        <v>3</v>
      </c>
      <c r="AL372" t="n">
        <v>1</v>
      </c>
      <c r="AM372" t="n">
        <v>2</v>
      </c>
      <c r="AN372" t="n">
        <v>0</v>
      </c>
      <c r="AO372" t="n">
        <v>0</v>
      </c>
      <c r="AP372" t="inlineStr">
        <is>
          <t>No</t>
        </is>
      </c>
      <c r="AQ372" t="inlineStr">
        <is>
          <t>Yes</t>
        </is>
      </c>
      <c r="AR372">
        <f>HYPERLINK("http://catalog.hathitrust.org/Record/007142970","HathiTrust Record")</f>
        <v/>
      </c>
      <c r="AS372">
        <f>HYPERLINK("https://creighton-primo.hosted.exlibrisgroup.com/primo-explore/search?tab=default_tab&amp;search_scope=EVERYTHING&amp;vid=01CRU&amp;lang=en_US&amp;offset=0&amp;query=any,contains,991004183759702656","Catalog Record")</f>
        <v/>
      </c>
      <c r="AT372">
        <f>HYPERLINK("http://www.worldcat.org/oclc/52475214","WorldCat Record")</f>
        <v/>
      </c>
      <c r="AU372" t="inlineStr">
        <is>
          <t>350448542:eng</t>
        </is>
      </c>
      <c r="AV372" t="inlineStr">
        <is>
          <t>52475214</t>
        </is>
      </c>
      <c r="AW372" t="inlineStr">
        <is>
          <t>991004183759702656</t>
        </is>
      </c>
      <c r="AX372" t="inlineStr">
        <is>
          <t>991004183759702656</t>
        </is>
      </c>
      <c r="AY372" t="inlineStr">
        <is>
          <t>2257811220002656</t>
        </is>
      </c>
      <c r="AZ372" t="inlineStr">
        <is>
          <t>BOOK</t>
        </is>
      </c>
      <c r="BB372" t="inlineStr">
        <is>
          <t>9780720611700</t>
        </is>
      </c>
      <c r="BC372" t="inlineStr">
        <is>
          <t>32285004635529</t>
        </is>
      </c>
      <c r="BD372" t="inlineStr">
        <is>
          <t>893435987</t>
        </is>
      </c>
    </row>
    <row r="373">
      <c r="A373" t="inlineStr">
        <is>
          <t>No</t>
        </is>
      </c>
      <c r="B373" t="inlineStr">
        <is>
          <t>PG3482.6.L42 A26 2004</t>
        </is>
      </c>
      <c r="C373" t="inlineStr">
        <is>
          <t>0                      PG 3482600L  42                 A  26          2004</t>
        </is>
      </c>
      <c r="D373" t="inlineStr">
        <is>
          <t>A land the size of binoculars / Igor Klekh ; translated from the Russian by Michael M. Naydan and Slava I. Yastremski ; with an introduction by Andrei Bitov.</t>
        </is>
      </c>
      <c r="F373" t="inlineStr">
        <is>
          <t>No</t>
        </is>
      </c>
      <c r="G373" t="inlineStr">
        <is>
          <t>1</t>
        </is>
      </c>
      <c r="H373" t="inlineStr">
        <is>
          <t>No</t>
        </is>
      </c>
      <c r="I373" t="inlineStr">
        <is>
          <t>No</t>
        </is>
      </c>
      <c r="J373" t="inlineStr">
        <is>
          <t>0</t>
        </is>
      </c>
      <c r="K373" t="inlineStr">
        <is>
          <t>Klekh, Igorʹ, 1952-</t>
        </is>
      </c>
      <c r="L373" t="inlineStr">
        <is>
          <t>Evanston, Ill. : Northwestern University Press, c2004.</t>
        </is>
      </c>
      <c r="M373" t="inlineStr">
        <is>
          <t>2004</t>
        </is>
      </c>
      <c r="O373" t="inlineStr">
        <is>
          <t>eng</t>
        </is>
      </c>
      <c r="P373" t="inlineStr">
        <is>
          <t>ilu</t>
        </is>
      </c>
      <c r="Q373" t="inlineStr">
        <is>
          <t>Writings from an unbound Europe</t>
        </is>
      </c>
      <c r="R373" t="inlineStr">
        <is>
          <t xml:space="preserve">PG </t>
        </is>
      </c>
      <c r="S373" t="n">
        <v>2</v>
      </c>
      <c r="T373" t="n">
        <v>2</v>
      </c>
      <c r="U373" t="inlineStr">
        <is>
          <t>2004-11-01</t>
        </is>
      </c>
      <c r="V373" t="inlineStr">
        <is>
          <t>2004-11-01</t>
        </is>
      </c>
      <c r="W373" t="inlineStr">
        <is>
          <t>2004-11-01</t>
        </is>
      </c>
      <c r="X373" t="inlineStr">
        <is>
          <t>2004-11-01</t>
        </is>
      </c>
      <c r="Y373" t="n">
        <v>131</v>
      </c>
      <c r="Z373" t="n">
        <v>114</v>
      </c>
      <c r="AA373" t="n">
        <v>114</v>
      </c>
      <c r="AB373" t="n">
        <v>1</v>
      </c>
      <c r="AC373" t="n">
        <v>1</v>
      </c>
      <c r="AD373" t="n">
        <v>3</v>
      </c>
      <c r="AE373" t="n">
        <v>3</v>
      </c>
      <c r="AF373" t="n">
        <v>0</v>
      </c>
      <c r="AG373" t="n">
        <v>0</v>
      </c>
      <c r="AH373" t="n">
        <v>1</v>
      </c>
      <c r="AI373" t="n">
        <v>1</v>
      </c>
      <c r="AJ373" t="n">
        <v>3</v>
      </c>
      <c r="AK373" t="n">
        <v>3</v>
      </c>
      <c r="AL373" t="n">
        <v>0</v>
      </c>
      <c r="AM373" t="n">
        <v>0</v>
      </c>
      <c r="AN373" t="n">
        <v>0</v>
      </c>
      <c r="AO373" t="n">
        <v>0</v>
      </c>
      <c r="AP373" t="inlineStr">
        <is>
          <t>No</t>
        </is>
      </c>
      <c r="AQ373" t="inlineStr">
        <is>
          <t>No</t>
        </is>
      </c>
      <c r="AS373">
        <f>HYPERLINK("https://creighton-primo.hosted.exlibrisgroup.com/primo-explore/search?tab=default_tab&amp;search_scope=EVERYTHING&amp;vid=01CRU&amp;lang=en_US&amp;offset=0&amp;query=any,contains,991004391419702656","Catalog Record")</f>
        <v/>
      </c>
      <c r="AT373">
        <f>HYPERLINK("http://www.worldcat.org/oclc/51306104","WorldCat Record")</f>
        <v/>
      </c>
      <c r="AU373" t="inlineStr">
        <is>
          <t>23455004:eng</t>
        </is>
      </c>
      <c r="AV373" t="inlineStr">
        <is>
          <t>51306104</t>
        </is>
      </c>
      <c r="AW373" t="inlineStr">
        <is>
          <t>991004391419702656</t>
        </is>
      </c>
      <c r="AX373" t="inlineStr">
        <is>
          <t>991004391419702656</t>
        </is>
      </c>
      <c r="AY373" t="inlineStr">
        <is>
          <t>2270247980002656</t>
        </is>
      </c>
      <c r="AZ373" t="inlineStr">
        <is>
          <t>BOOK</t>
        </is>
      </c>
      <c r="BB373" t="inlineStr">
        <is>
          <t>9780810119420</t>
        </is>
      </c>
      <c r="BC373" t="inlineStr">
        <is>
          <t>32285005007694</t>
        </is>
      </c>
      <c r="BD373" t="inlineStr">
        <is>
          <t>893241365</t>
        </is>
      </c>
    </row>
    <row r="374">
      <c r="A374" t="inlineStr">
        <is>
          <t>No</t>
        </is>
      </c>
      <c r="B374" t="inlineStr">
        <is>
          <t>PG3488 .O356</t>
        </is>
      </c>
      <c r="C374" t="inlineStr">
        <is>
          <t>0                      PG 3488000O  356</t>
        </is>
      </c>
      <c r="D374" t="inlineStr">
        <is>
          <t>A school for fools / Sasha Sokolov ; translated by Carl R. Proffer.</t>
        </is>
      </c>
      <c r="F374" t="inlineStr">
        <is>
          <t>No</t>
        </is>
      </c>
      <c r="G374" t="inlineStr">
        <is>
          <t>1</t>
        </is>
      </c>
      <c r="H374" t="inlineStr">
        <is>
          <t>No</t>
        </is>
      </c>
      <c r="I374" t="inlineStr">
        <is>
          <t>No</t>
        </is>
      </c>
      <c r="J374" t="inlineStr">
        <is>
          <t>0</t>
        </is>
      </c>
      <c r="K374" t="inlineStr">
        <is>
          <t>Sokolov, Sasha, 1943-</t>
        </is>
      </c>
      <c r="L374" t="inlineStr">
        <is>
          <t>Ann Arbor, Mich. : Ardis, c1977.</t>
        </is>
      </c>
      <c r="M374" t="inlineStr">
        <is>
          <t>1977</t>
        </is>
      </c>
      <c r="O374" t="inlineStr">
        <is>
          <t>eng</t>
        </is>
      </c>
      <c r="P374" t="inlineStr">
        <is>
          <t>miu</t>
        </is>
      </c>
      <c r="R374" t="inlineStr">
        <is>
          <t xml:space="preserve">PG </t>
        </is>
      </c>
      <c r="S374" t="n">
        <v>2</v>
      </c>
      <c r="T374" t="n">
        <v>2</v>
      </c>
      <c r="U374" t="inlineStr">
        <is>
          <t>1994-08-31</t>
        </is>
      </c>
      <c r="V374" t="inlineStr">
        <is>
          <t>1994-08-31</t>
        </is>
      </c>
      <c r="W374" t="inlineStr">
        <is>
          <t>1991-08-12</t>
        </is>
      </c>
      <c r="X374" t="inlineStr">
        <is>
          <t>1991-08-12</t>
        </is>
      </c>
      <c r="Y374" t="n">
        <v>426</v>
      </c>
      <c r="Z374" t="n">
        <v>363</v>
      </c>
      <c r="AA374" t="n">
        <v>475</v>
      </c>
      <c r="AB374" t="n">
        <v>2</v>
      </c>
      <c r="AC374" t="n">
        <v>2</v>
      </c>
      <c r="AD374" t="n">
        <v>11</v>
      </c>
      <c r="AE374" t="n">
        <v>14</v>
      </c>
      <c r="AF374" t="n">
        <v>2</v>
      </c>
      <c r="AG374" t="n">
        <v>3</v>
      </c>
      <c r="AH374" t="n">
        <v>5</v>
      </c>
      <c r="AI374" t="n">
        <v>6</v>
      </c>
      <c r="AJ374" t="n">
        <v>6</v>
      </c>
      <c r="AK374" t="n">
        <v>8</v>
      </c>
      <c r="AL374" t="n">
        <v>1</v>
      </c>
      <c r="AM374" t="n">
        <v>1</v>
      </c>
      <c r="AN374" t="n">
        <v>0</v>
      </c>
      <c r="AO374" t="n">
        <v>0</v>
      </c>
      <c r="AP374" t="inlineStr">
        <is>
          <t>No</t>
        </is>
      </c>
      <c r="AQ374" t="inlineStr">
        <is>
          <t>Yes</t>
        </is>
      </c>
      <c r="AR374">
        <f>HYPERLINK("http://catalog.hathitrust.org/Record/000737047","HathiTrust Record")</f>
        <v/>
      </c>
      <c r="AS374">
        <f>HYPERLINK("https://creighton-primo.hosted.exlibrisgroup.com/primo-explore/search?tab=default_tab&amp;search_scope=EVERYTHING&amp;vid=01CRU&amp;lang=en_US&amp;offset=0&amp;query=any,contains,991004279629702656","Catalog Record")</f>
        <v/>
      </c>
      <c r="AT374">
        <f>HYPERLINK("http://www.worldcat.org/oclc/2905486","WorldCat Record")</f>
        <v/>
      </c>
      <c r="AU374" t="inlineStr">
        <is>
          <t>5090468262:eng</t>
        </is>
      </c>
      <c r="AV374" t="inlineStr">
        <is>
          <t>2905486</t>
        </is>
      </c>
      <c r="AW374" t="inlineStr">
        <is>
          <t>991004279629702656</t>
        </is>
      </c>
      <c r="AX374" t="inlineStr">
        <is>
          <t>991004279629702656</t>
        </is>
      </c>
      <c r="AY374" t="inlineStr">
        <is>
          <t>2271752170002656</t>
        </is>
      </c>
      <c r="AZ374" t="inlineStr">
        <is>
          <t>BOOK</t>
        </is>
      </c>
      <c r="BB374" t="inlineStr">
        <is>
          <t>9780882332482</t>
        </is>
      </c>
      <c r="BC374" t="inlineStr">
        <is>
          <t>32285000701440</t>
        </is>
      </c>
      <c r="BD374" t="inlineStr">
        <is>
          <t>893605828</t>
        </is>
      </c>
    </row>
    <row r="375">
      <c r="A375" t="inlineStr">
        <is>
          <t>No</t>
        </is>
      </c>
      <c r="B375" t="inlineStr">
        <is>
          <t>PG3488.O4 B313 1983</t>
        </is>
      </c>
      <c r="C375" t="inlineStr">
        <is>
          <t>0                      PG 3488000O  4                  B  313         1983</t>
        </is>
      </c>
      <c r="D375" t="inlineStr">
        <is>
          <t>Cancer ward / Alexander Solzhenitsyn ; translated by Nicholas Bethell and David Burg.</t>
        </is>
      </c>
      <c r="F375" t="inlineStr">
        <is>
          <t>No</t>
        </is>
      </c>
      <c r="G375" t="inlineStr">
        <is>
          <t>2</t>
        </is>
      </c>
      <c r="H375" t="inlineStr">
        <is>
          <t>No</t>
        </is>
      </c>
      <c r="I375" t="inlineStr">
        <is>
          <t>No</t>
        </is>
      </c>
      <c r="J375" t="inlineStr">
        <is>
          <t>0</t>
        </is>
      </c>
      <c r="K375" t="inlineStr">
        <is>
          <t>Solzhenit︠s︡yn, Aleksandr Isaevich, 1918-2008.</t>
        </is>
      </c>
      <c r="L375" t="inlineStr">
        <is>
          <t>New York : Modern Library, 1983, c1969.</t>
        </is>
      </c>
      <c r="M375" t="inlineStr">
        <is>
          <t>1983</t>
        </is>
      </c>
      <c r="N375" t="inlineStr">
        <is>
          <t>1st Modern Library ed.</t>
        </is>
      </c>
      <c r="O375" t="inlineStr">
        <is>
          <t>eng</t>
        </is>
      </c>
      <c r="P375" t="inlineStr">
        <is>
          <t>nyu</t>
        </is>
      </c>
      <c r="R375" t="inlineStr">
        <is>
          <t xml:space="preserve">PG </t>
        </is>
      </c>
      <c r="S375" t="n">
        <v>10</v>
      </c>
      <c r="T375" t="n">
        <v>10</v>
      </c>
      <c r="U375" t="inlineStr">
        <is>
          <t>1998-02-17</t>
        </is>
      </c>
      <c r="V375" t="inlineStr">
        <is>
          <t>1998-02-17</t>
        </is>
      </c>
      <c r="W375" t="inlineStr">
        <is>
          <t>1991-11-08</t>
        </is>
      </c>
      <c r="X375" t="inlineStr">
        <is>
          <t>1991-11-08</t>
        </is>
      </c>
      <c r="Y375" t="n">
        <v>321</v>
      </c>
      <c r="Z375" t="n">
        <v>294</v>
      </c>
      <c r="AA375" t="n">
        <v>2799</v>
      </c>
      <c r="AB375" t="n">
        <v>2</v>
      </c>
      <c r="AC375" t="n">
        <v>25</v>
      </c>
      <c r="AD375" t="n">
        <v>7</v>
      </c>
      <c r="AE375" t="n">
        <v>57</v>
      </c>
      <c r="AF375" t="n">
        <v>1</v>
      </c>
      <c r="AG375" t="n">
        <v>21</v>
      </c>
      <c r="AH375" t="n">
        <v>1</v>
      </c>
      <c r="AI375" t="n">
        <v>10</v>
      </c>
      <c r="AJ375" t="n">
        <v>5</v>
      </c>
      <c r="AK375" t="n">
        <v>24</v>
      </c>
      <c r="AL375" t="n">
        <v>0</v>
      </c>
      <c r="AM375" t="n">
        <v>14</v>
      </c>
      <c r="AN375" t="n">
        <v>0</v>
      </c>
      <c r="AO375" t="n">
        <v>0</v>
      </c>
      <c r="AP375" t="inlineStr">
        <is>
          <t>No</t>
        </is>
      </c>
      <c r="AQ375" t="inlineStr">
        <is>
          <t>No</t>
        </is>
      </c>
      <c r="AS375">
        <f>HYPERLINK("https://creighton-primo.hosted.exlibrisgroup.com/primo-explore/search?tab=default_tab&amp;search_scope=EVERYTHING&amp;vid=01CRU&amp;lang=en_US&amp;offset=0&amp;query=any,contains,991000221759702656","Catalog Record")</f>
        <v/>
      </c>
      <c r="AT375">
        <f>HYPERLINK("http://www.worldcat.org/oclc/9576626","WorldCat Record")</f>
        <v/>
      </c>
      <c r="AU375" t="inlineStr">
        <is>
          <t>140985181:eng</t>
        </is>
      </c>
      <c r="AV375" t="inlineStr">
        <is>
          <t>9576626</t>
        </is>
      </c>
      <c r="AW375" t="inlineStr">
        <is>
          <t>991000221759702656</t>
        </is>
      </c>
      <c r="AX375" t="inlineStr">
        <is>
          <t>991000221759702656</t>
        </is>
      </c>
      <c r="AY375" t="inlineStr">
        <is>
          <t>2267556620002656</t>
        </is>
      </c>
      <c r="AZ375" t="inlineStr">
        <is>
          <t>BOOK</t>
        </is>
      </c>
      <c r="BB375" t="inlineStr">
        <is>
          <t>9780394604992</t>
        </is>
      </c>
      <c r="BC375" t="inlineStr">
        <is>
          <t>32285000820042</t>
        </is>
      </c>
      <c r="BD375" t="inlineStr">
        <is>
          <t>893508640</t>
        </is>
      </c>
    </row>
    <row r="376">
      <c r="A376" t="inlineStr">
        <is>
          <t>No</t>
        </is>
      </c>
      <c r="B376" t="inlineStr">
        <is>
          <t>PG3488.O4 L6 1969b</t>
        </is>
      </c>
      <c r="C376" t="inlineStr">
        <is>
          <t>0                      PG 3488000O  4                  L  6           1969b</t>
        </is>
      </c>
      <c r="D376" t="inlineStr">
        <is>
          <t>The love-girl and the innocent; a play [by] Alexander Solzhenitsyn. Translated by Nicholas Bethell and David Burg.</t>
        </is>
      </c>
      <c r="F376" t="inlineStr">
        <is>
          <t>No</t>
        </is>
      </c>
      <c r="G376" t="inlineStr">
        <is>
          <t>1</t>
        </is>
      </c>
      <c r="H376" t="inlineStr">
        <is>
          <t>No</t>
        </is>
      </c>
      <c r="I376" t="inlineStr">
        <is>
          <t>No</t>
        </is>
      </c>
      <c r="J376" t="inlineStr">
        <is>
          <t>0</t>
        </is>
      </c>
      <c r="K376" t="inlineStr">
        <is>
          <t>Solzhenit︠s︡yn, Aleksandr Isaevich, 1918-2008.</t>
        </is>
      </c>
      <c r="L376" t="inlineStr">
        <is>
          <t>New York, Farrar, Straus &amp; Giroux [1969]</t>
        </is>
      </c>
      <c r="M376" t="inlineStr">
        <is>
          <t>1969</t>
        </is>
      </c>
      <c r="O376" t="inlineStr">
        <is>
          <t>eng</t>
        </is>
      </c>
      <c r="P376" t="inlineStr">
        <is>
          <t>nyu</t>
        </is>
      </c>
      <c r="R376" t="inlineStr">
        <is>
          <t xml:space="preserve">PG </t>
        </is>
      </c>
      <c r="S376" t="n">
        <v>2</v>
      </c>
      <c r="T376" t="n">
        <v>2</v>
      </c>
      <c r="U376" t="inlineStr">
        <is>
          <t>1997-11-07</t>
        </is>
      </c>
      <c r="V376" t="inlineStr">
        <is>
          <t>1997-11-07</t>
        </is>
      </c>
      <c r="W376" t="inlineStr">
        <is>
          <t>1997-09-09</t>
        </is>
      </c>
      <c r="X376" t="inlineStr">
        <is>
          <t>1997-09-09</t>
        </is>
      </c>
      <c r="Y376" t="n">
        <v>943</v>
      </c>
      <c r="Z376" t="n">
        <v>890</v>
      </c>
      <c r="AA376" t="n">
        <v>1020</v>
      </c>
      <c r="AB376" t="n">
        <v>9</v>
      </c>
      <c r="AC376" t="n">
        <v>9</v>
      </c>
      <c r="AD376" t="n">
        <v>33</v>
      </c>
      <c r="AE376" t="n">
        <v>36</v>
      </c>
      <c r="AF376" t="n">
        <v>11</v>
      </c>
      <c r="AG376" t="n">
        <v>13</v>
      </c>
      <c r="AH376" t="n">
        <v>7</v>
      </c>
      <c r="AI376" t="n">
        <v>7</v>
      </c>
      <c r="AJ376" t="n">
        <v>15</v>
      </c>
      <c r="AK376" t="n">
        <v>16</v>
      </c>
      <c r="AL376" t="n">
        <v>8</v>
      </c>
      <c r="AM376" t="n">
        <v>8</v>
      </c>
      <c r="AN376" t="n">
        <v>0</v>
      </c>
      <c r="AO376" t="n">
        <v>0</v>
      </c>
      <c r="AP376" t="inlineStr">
        <is>
          <t>No</t>
        </is>
      </c>
      <c r="AQ376" t="inlineStr">
        <is>
          <t>No</t>
        </is>
      </c>
      <c r="AS376">
        <f>HYPERLINK("https://creighton-primo.hosted.exlibrisgroup.com/primo-explore/search?tab=default_tab&amp;search_scope=EVERYTHING&amp;vid=01CRU&amp;lang=en_US&amp;offset=0&amp;query=any,contains,991000133909702656","Catalog Record")</f>
        <v/>
      </c>
      <c r="AT376">
        <f>HYPERLINK("http://www.worldcat.org/oclc/55427","WorldCat Record")</f>
        <v/>
      </c>
      <c r="AU376" t="inlineStr">
        <is>
          <t>10142146295:eng</t>
        </is>
      </c>
      <c r="AV376" t="inlineStr">
        <is>
          <t>55427</t>
        </is>
      </c>
      <c r="AW376" t="inlineStr">
        <is>
          <t>991000133909702656</t>
        </is>
      </c>
      <c r="AX376" t="inlineStr">
        <is>
          <t>991000133909702656</t>
        </is>
      </c>
      <c r="AY376" t="inlineStr">
        <is>
          <t>2258248070002656</t>
        </is>
      </c>
      <c r="AZ376" t="inlineStr">
        <is>
          <t>BOOK</t>
        </is>
      </c>
      <c r="BC376" t="inlineStr">
        <is>
          <t>32285003220612</t>
        </is>
      </c>
      <c r="BD376" t="inlineStr">
        <is>
          <t>893419233</t>
        </is>
      </c>
    </row>
    <row r="377">
      <c r="A377" t="inlineStr">
        <is>
          <t>No</t>
        </is>
      </c>
      <c r="B377" t="inlineStr">
        <is>
          <t>PG3488.O4 O3913 1999</t>
        </is>
      </c>
      <c r="C377" t="inlineStr">
        <is>
          <t>0                      PG 3488000O  4                  O  3913        1999</t>
        </is>
      </c>
      <c r="D377" t="inlineStr">
        <is>
          <t>November 1916 / Aleksandr Solzhenitsyn ; translated by H.T. Willetts.</t>
        </is>
      </c>
      <c r="F377" t="inlineStr">
        <is>
          <t>No</t>
        </is>
      </c>
      <c r="G377" t="inlineStr">
        <is>
          <t>1</t>
        </is>
      </c>
      <c r="H377" t="inlineStr">
        <is>
          <t>No</t>
        </is>
      </c>
      <c r="I377" t="inlineStr">
        <is>
          <t>No</t>
        </is>
      </c>
      <c r="J377" t="inlineStr">
        <is>
          <t>0</t>
        </is>
      </c>
      <c r="K377" t="inlineStr">
        <is>
          <t>Solzhenit︠s︡yn, Aleksandr Isaevich, 1918-2008.</t>
        </is>
      </c>
      <c r="L377" t="inlineStr">
        <is>
          <t>New York : Farrar, Straus and Giroux, 1999.</t>
        </is>
      </c>
      <c r="M377" t="inlineStr">
        <is>
          <t>1999</t>
        </is>
      </c>
      <c r="N377" t="inlineStr">
        <is>
          <t>1st American ed.</t>
        </is>
      </c>
      <c r="O377" t="inlineStr">
        <is>
          <t>eng</t>
        </is>
      </c>
      <c r="P377" t="inlineStr">
        <is>
          <t>nyu</t>
        </is>
      </c>
      <c r="Q377" t="inlineStr">
        <is>
          <t>Red wheel ; knot 2</t>
        </is>
      </c>
      <c r="R377" t="inlineStr">
        <is>
          <t xml:space="preserve">PG </t>
        </is>
      </c>
      <c r="S377" t="n">
        <v>3</v>
      </c>
      <c r="T377" t="n">
        <v>3</v>
      </c>
      <c r="U377" t="inlineStr">
        <is>
          <t>2009-12-10</t>
        </is>
      </c>
      <c r="V377" t="inlineStr">
        <is>
          <t>2009-12-10</t>
        </is>
      </c>
      <c r="W377" t="inlineStr">
        <is>
          <t>1999-03-10</t>
        </is>
      </c>
      <c r="X377" t="inlineStr">
        <is>
          <t>1999-03-10</t>
        </is>
      </c>
      <c r="Y377" t="n">
        <v>1001</v>
      </c>
      <c r="Z377" t="n">
        <v>936</v>
      </c>
      <c r="AA377" t="n">
        <v>1031</v>
      </c>
      <c r="AB377" t="n">
        <v>7</v>
      </c>
      <c r="AC377" t="n">
        <v>8</v>
      </c>
      <c r="AD377" t="n">
        <v>28</v>
      </c>
      <c r="AE377" t="n">
        <v>33</v>
      </c>
      <c r="AF377" t="n">
        <v>11</v>
      </c>
      <c r="AG377" t="n">
        <v>13</v>
      </c>
      <c r="AH377" t="n">
        <v>8</v>
      </c>
      <c r="AI377" t="n">
        <v>8</v>
      </c>
      <c r="AJ377" t="n">
        <v>13</v>
      </c>
      <c r="AK377" t="n">
        <v>17</v>
      </c>
      <c r="AL377" t="n">
        <v>3</v>
      </c>
      <c r="AM377" t="n">
        <v>4</v>
      </c>
      <c r="AN377" t="n">
        <v>0</v>
      </c>
      <c r="AO377" t="n">
        <v>0</v>
      </c>
      <c r="AP377" t="inlineStr">
        <is>
          <t>No</t>
        </is>
      </c>
      <c r="AQ377" t="inlineStr">
        <is>
          <t>No</t>
        </is>
      </c>
      <c r="AS377">
        <f>HYPERLINK("https://creighton-primo.hosted.exlibrisgroup.com/primo-explore/search?tab=default_tab&amp;search_scope=EVERYTHING&amp;vid=01CRU&amp;lang=en_US&amp;offset=0&amp;query=any,contains,991002912169702656","Catalog Record")</f>
        <v/>
      </c>
      <c r="AT377">
        <f>HYPERLINK("http://www.worldcat.org/oclc/38504471","WorldCat Record")</f>
        <v/>
      </c>
      <c r="AU377" t="inlineStr">
        <is>
          <t>28226990:eng</t>
        </is>
      </c>
      <c r="AV377" t="inlineStr">
        <is>
          <t>38504471</t>
        </is>
      </c>
      <c r="AW377" t="inlineStr">
        <is>
          <t>991002912169702656</t>
        </is>
      </c>
      <c r="AX377" t="inlineStr">
        <is>
          <t>991002912169702656</t>
        </is>
      </c>
      <c r="AY377" t="inlineStr">
        <is>
          <t>2266924360002656</t>
        </is>
      </c>
      <c r="AZ377" t="inlineStr">
        <is>
          <t>BOOK</t>
        </is>
      </c>
      <c r="BB377" t="inlineStr">
        <is>
          <t>9780374223144</t>
        </is>
      </c>
      <c r="BC377" t="inlineStr">
        <is>
          <t>32285003530374</t>
        </is>
      </c>
      <c r="BD377" t="inlineStr">
        <is>
          <t>893874171</t>
        </is>
      </c>
    </row>
    <row r="378">
      <c r="A378" t="inlineStr">
        <is>
          <t>No</t>
        </is>
      </c>
      <c r="B378" t="inlineStr">
        <is>
          <t>PG3488.O4 S7 1971</t>
        </is>
      </c>
      <c r="C378" t="inlineStr">
        <is>
          <t>0                      PG 3488000O  4                  S  7           1971</t>
        </is>
      </c>
      <c r="D378" t="inlineStr">
        <is>
          <t>Stories and prose poems / [by] Alexander Solzhenitsyn. Translated by Michael Glenny.</t>
        </is>
      </c>
      <c r="F378" t="inlineStr">
        <is>
          <t>No</t>
        </is>
      </c>
      <c r="G378" t="inlineStr">
        <is>
          <t>1</t>
        </is>
      </c>
      <c r="H378" t="inlineStr">
        <is>
          <t>No</t>
        </is>
      </c>
      <c r="I378" t="inlineStr">
        <is>
          <t>No</t>
        </is>
      </c>
      <c r="J378" t="inlineStr">
        <is>
          <t>0</t>
        </is>
      </c>
      <c r="K378" t="inlineStr">
        <is>
          <t>Solzhenit︠s︡yn, Aleksandr Isaevich, 1918-2008.</t>
        </is>
      </c>
      <c r="L378" t="inlineStr">
        <is>
          <t>New York : Farrar, Straus and Giroux, [1971]</t>
        </is>
      </c>
      <c r="M378" t="inlineStr">
        <is>
          <t>1971</t>
        </is>
      </c>
      <c r="O378" t="inlineStr">
        <is>
          <t>eng</t>
        </is>
      </c>
      <c r="P378" t="inlineStr">
        <is>
          <t>nyu</t>
        </is>
      </c>
      <c r="R378" t="inlineStr">
        <is>
          <t xml:space="preserve">PG </t>
        </is>
      </c>
      <c r="S378" t="n">
        <v>3</v>
      </c>
      <c r="T378" t="n">
        <v>3</v>
      </c>
      <c r="U378" t="inlineStr">
        <is>
          <t>1996-12-04</t>
        </is>
      </c>
      <c r="V378" t="inlineStr">
        <is>
          <t>1996-12-04</t>
        </is>
      </c>
      <c r="W378" t="inlineStr">
        <is>
          <t>1993-12-15</t>
        </is>
      </c>
      <c r="X378" t="inlineStr">
        <is>
          <t>1993-12-15</t>
        </is>
      </c>
      <c r="Y378" t="n">
        <v>1556</v>
      </c>
      <c r="Z378" t="n">
        <v>1485</v>
      </c>
      <c r="AA378" t="n">
        <v>1656</v>
      </c>
      <c r="AB378" t="n">
        <v>15</v>
      </c>
      <c r="AC378" t="n">
        <v>15</v>
      </c>
      <c r="AD378" t="n">
        <v>50</v>
      </c>
      <c r="AE378" t="n">
        <v>52</v>
      </c>
      <c r="AF378" t="n">
        <v>22</v>
      </c>
      <c r="AG378" t="n">
        <v>23</v>
      </c>
      <c r="AH378" t="n">
        <v>10</v>
      </c>
      <c r="AI378" t="n">
        <v>10</v>
      </c>
      <c r="AJ378" t="n">
        <v>18</v>
      </c>
      <c r="AK378" t="n">
        <v>20</v>
      </c>
      <c r="AL378" t="n">
        <v>9</v>
      </c>
      <c r="AM378" t="n">
        <v>9</v>
      </c>
      <c r="AN378" t="n">
        <v>0</v>
      </c>
      <c r="AO378" t="n">
        <v>0</v>
      </c>
      <c r="AP378" t="inlineStr">
        <is>
          <t>No</t>
        </is>
      </c>
      <c r="AQ378" t="inlineStr">
        <is>
          <t>No</t>
        </is>
      </c>
      <c r="AS378">
        <f>HYPERLINK("https://creighton-primo.hosted.exlibrisgroup.com/primo-explore/search?tab=default_tab&amp;search_scope=EVERYTHING&amp;vid=01CRU&amp;lang=en_US&amp;offset=0&amp;query=any,contains,991000888129702656","Catalog Record")</f>
        <v/>
      </c>
      <c r="AT378">
        <f>HYPERLINK("http://www.worldcat.org/oclc/153107","WorldCat Record")</f>
        <v/>
      </c>
      <c r="AU378" t="inlineStr">
        <is>
          <t>140970593:eng</t>
        </is>
      </c>
      <c r="AV378" t="inlineStr">
        <is>
          <t>153107</t>
        </is>
      </c>
      <c r="AW378" t="inlineStr">
        <is>
          <t>991000888129702656</t>
        </is>
      </c>
      <c r="AX378" t="inlineStr">
        <is>
          <t>991000888129702656</t>
        </is>
      </c>
      <c r="AY378" t="inlineStr">
        <is>
          <t>2269678180002656</t>
        </is>
      </c>
      <c r="AZ378" t="inlineStr">
        <is>
          <t>BOOK</t>
        </is>
      </c>
      <c r="BB378" t="inlineStr">
        <is>
          <t>9780374270339</t>
        </is>
      </c>
      <c r="BC378" t="inlineStr">
        <is>
          <t>32285001808988</t>
        </is>
      </c>
      <c r="BD378" t="inlineStr">
        <is>
          <t>893797087</t>
        </is>
      </c>
    </row>
    <row r="379">
      <c r="A379" t="inlineStr">
        <is>
          <t>No</t>
        </is>
      </c>
      <c r="B379" t="inlineStr">
        <is>
          <t>PG3488.O4 Z59 1973</t>
        </is>
      </c>
      <c r="C379" t="inlineStr">
        <is>
          <t>0                      PG 3488000O  4                  Z  59          1973</t>
        </is>
      </c>
      <c r="D379" t="inlineStr">
        <is>
          <t>Solzhenitsyn / David Burg and George Feifer.</t>
        </is>
      </c>
      <c r="F379" t="inlineStr">
        <is>
          <t>No</t>
        </is>
      </c>
      <c r="G379" t="inlineStr">
        <is>
          <t>1</t>
        </is>
      </c>
      <c r="H379" t="inlineStr">
        <is>
          <t>No</t>
        </is>
      </c>
      <c r="I379" t="inlineStr">
        <is>
          <t>No</t>
        </is>
      </c>
      <c r="J379" t="inlineStr">
        <is>
          <t>0</t>
        </is>
      </c>
      <c r="K379" t="inlineStr">
        <is>
          <t>Burg, David.</t>
        </is>
      </c>
      <c r="L379" t="inlineStr">
        <is>
          <t>New York, N.Y. : Stein and Day, 1973, c1972.</t>
        </is>
      </c>
      <c r="M379" t="inlineStr">
        <is>
          <t>1973</t>
        </is>
      </c>
      <c r="O379" t="inlineStr">
        <is>
          <t>eng</t>
        </is>
      </c>
      <c r="P379" t="inlineStr">
        <is>
          <t>nyu</t>
        </is>
      </c>
      <c r="R379" t="inlineStr">
        <is>
          <t xml:space="preserve">PG </t>
        </is>
      </c>
      <c r="S379" t="n">
        <v>3</v>
      </c>
      <c r="T379" t="n">
        <v>3</v>
      </c>
      <c r="U379" t="inlineStr">
        <is>
          <t>1999-09-22</t>
        </is>
      </c>
      <c r="V379" t="inlineStr">
        <is>
          <t>1999-09-22</t>
        </is>
      </c>
      <c r="W379" t="inlineStr">
        <is>
          <t>1997-09-08</t>
        </is>
      </c>
      <c r="X379" t="inlineStr">
        <is>
          <t>1997-09-08</t>
        </is>
      </c>
      <c r="Y379" t="n">
        <v>67</v>
      </c>
      <c r="Z379" t="n">
        <v>56</v>
      </c>
      <c r="AA379" t="n">
        <v>1148</v>
      </c>
      <c r="AB379" t="n">
        <v>1</v>
      </c>
      <c r="AC379" t="n">
        <v>11</v>
      </c>
      <c r="AD379" t="n">
        <v>2</v>
      </c>
      <c r="AE379" t="n">
        <v>34</v>
      </c>
      <c r="AF379" t="n">
        <v>0</v>
      </c>
      <c r="AG379" t="n">
        <v>10</v>
      </c>
      <c r="AH379" t="n">
        <v>1</v>
      </c>
      <c r="AI379" t="n">
        <v>6</v>
      </c>
      <c r="AJ379" t="n">
        <v>2</v>
      </c>
      <c r="AK379" t="n">
        <v>18</v>
      </c>
      <c r="AL379" t="n">
        <v>0</v>
      </c>
      <c r="AM379" t="n">
        <v>7</v>
      </c>
      <c r="AN379" t="n">
        <v>0</v>
      </c>
      <c r="AO379" t="n">
        <v>0</v>
      </c>
      <c r="AP379" t="inlineStr">
        <is>
          <t>No</t>
        </is>
      </c>
      <c r="AQ379" t="inlineStr">
        <is>
          <t>No</t>
        </is>
      </c>
      <c r="AS379">
        <f>HYPERLINK("https://creighton-primo.hosted.exlibrisgroup.com/primo-explore/search?tab=default_tab&amp;search_scope=EVERYTHING&amp;vid=01CRU&amp;lang=en_US&amp;offset=0&amp;query=any,contains,991005149799702656","Catalog Record")</f>
        <v/>
      </c>
      <c r="AT379">
        <f>HYPERLINK("http://www.worldcat.org/oclc/7718554","WorldCat Record")</f>
        <v/>
      </c>
      <c r="AU379" t="inlineStr">
        <is>
          <t>1823458371:eng</t>
        </is>
      </c>
      <c r="AV379" t="inlineStr">
        <is>
          <t>7718554</t>
        </is>
      </c>
      <c r="AW379" t="inlineStr">
        <is>
          <t>991005149799702656</t>
        </is>
      </c>
      <c r="AX379" t="inlineStr">
        <is>
          <t>991005149799702656</t>
        </is>
      </c>
      <c r="AY379" t="inlineStr">
        <is>
          <t>2269667060002656</t>
        </is>
      </c>
      <c r="AZ379" t="inlineStr">
        <is>
          <t>BOOK</t>
        </is>
      </c>
      <c r="BC379" t="inlineStr">
        <is>
          <t>32285003168019</t>
        </is>
      </c>
      <c r="BD379" t="inlineStr">
        <is>
          <t>893713528</t>
        </is>
      </c>
    </row>
    <row r="380">
      <c r="A380" t="inlineStr">
        <is>
          <t>No</t>
        </is>
      </c>
      <c r="B380" t="inlineStr">
        <is>
          <t>PG3488.O4 Z622</t>
        </is>
      </c>
      <c r="C380" t="inlineStr">
        <is>
          <t>0                      PG 3488000O  4                  Z  622</t>
        </is>
      </c>
      <c r="D380" t="inlineStr">
        <is>
          <t>The spirit of Solzhenitsyn / Olivier Clément ; [translated by Sarah Fawcett and Paul Burns].</t>
        </is>
      </c>
      <c r="F380" t="inlineStr">
        <is>
          <t>No</t>
        </is>
      </c>
      <c r="G380" t="inlineStr">
        <is>
          <t>1</t>
        </is>
      </c>
      <c r="H380" t="inlineStr">
        <is>
          <t>No</t>
        </is>
      </c>
      <c r="I380" t="inlineStr">
        <is>
          <t>No</t>
        </is>
      </c>
      <c r="J380" t="inlineStr">
        <is>
          <t>0</t>
        </is>
      </c>
      <c r="K380" t="inlineStr">
        <is>
          <t>Clément, Olivier.</t>
        </is>
      </c>
      <c r="L380" t="inlineStr">
        <is>
          <t>London : Search Press ; New York : Barnes &amp; Noble Books, 1976.</t>
        </is>
      </c>
      <c r="M380" t="inlineStr">
        <is>
          <t>1976</t>
        </is>
      </c>
      <c r="O380" t="inlineStr">
        <is>
          <t>eng</t>
        </is>
      </c>
      <c r="P380" t="inlineStr">
        <is>
          <t>enk</t>
        </is>
      </c>
      <c r="R380" t="inlineStr">
        <is>
          <t xml:space="preserve">PG </t>
        </is>
      </c>
      <c r="S380" t="n">
        <v>3</v>
      </c>
      <c r="T380" t="n">
        <v>3</v>
      </c>
      <c r="U380" t="inlineStr">
        <is>
          <t>1996-02-23</t>
        </is>
      </c>
      <c r="V380" t="inlineStr">
        <is>
          <t>1996-02-23</t>
        </is>
      </c>
      <c r="W380" t="inlineStr">
        <is>
          <t>1995-05-11</t>
        </is>
      </c>
      <c r="X380" t="inlineStr">
        <is>
          <t>1995-05-11</t>
        </is>
      </c>
      <c r="Y380" t="n">
        <v>464</v>
      </c>
      <c r="Z380" t="n">
        <v>387</v>
      </c>
      <c r="AA380" t="n">
        <v>537</v>
      </c>
      <c r="AB380" t="n">
        <v>5</v>
      </c>
      <c r="AC380" t="n">
        <v>5</v>
      </c>
      <c r="AD380" t="n">
        <v>19</v>
      </c>
      <c r="AE380" t="n">
        <v>24</v>
      </c>
      <c r="AF380" t="n">
        <v>7</v>
      </c>
      <c r="AG380" t="n">
        <v>8</v>
      </c>
      <c r="AH380" t="n">
        <v>2</v>
      </c>
      <c r="AI380" t="n">
        <v>4</v>
      </c>
      <c r="AJ380" t="n">
        <v>12</v>
      </c>
      <c r="AK380" t="n">
        <v>14</v>
      </c>
      <c r="AL380" t="n">
        <v>3</v>
      </c>
      <c r="AM380" t="n">
        <v>3</v>
      </c>
      <c r="AN380" t="n">
        <v>0</v>
      </c>
      <c r="AO380" t="n">
        <v>0</v>
      </c>
      <c r="AP380" t="inlineStr">
        <is>
          <t>No</t>
        </is>
      </c>
      <c r="AQ380" t="inlineStr">
        <is>
          <t>Yes</t>
        </is>
      </c>
      <c r="AR380">
        <f>HYPERLINK("http://catalog.hathitrust.org/Record/000751835","HathiTrust Record")</f>
        <v/>
      </c>
      <c r="AS380">
        <f>HYPERLINK("https://creighton-primo.hosted.exlibrisgroup.com/primo-explore/search?tab=default_tab&amp;search_scope=EVERYTHING&amp;vid=01CRU&amp;lang=en_US&amp;offset=0&amp;query=any,contains,991004428549702656","Catalog Record")</f>
        <v/>
      </c>
      <c r="AT380">
        <f>HYPERLINK("http://www.worldcat.org/oclc/3414198","WorldCat Record")</f>
        <v/>
      </c>
      <c r="AU380" t="inlineStr">
        <is>
          <t>2556923862:eng</t>
        </is>
      </c>
      <c r="AV380" t="inlineStr">
        <is>
          <t>3414198</t>
        </is>
      </c>
      <c r="AW380" t="inlineStr">
        <is>
          <t>991004428549702656</t>
        </is>
      </c>
      <c r="AX380" t="inlineStr">
        <is>
          <t>991004428549702656</t>
        </is>
      </c>
      <c r="AY380" t="inlineStr">
        <is>
          <t>2259811590002656</t>
        </is>
      </c>
      <c r="AZ380" t="inlineStr">
        <is>
          <t>BOOK</t>
        </is>
      </c>
      <c r="BB380" t="inlineStr">
        <is>
          <t>9780064912129</t>
        </is>
      </c>
      <c r="BC380" t="inlineStr">
        <is>
          <t>32285002033867</t>
        </is>
      </c>
      <c r="BD380" t="inlineStr">
        <is>
          <t>893417623</t>
        </is>
      </c>
    </row>
    <row r="381">
      <c r="A381" t="inlineStr">
        <is>
          <t>No</t>
        </is>
      </c>
      <c r="B381" t="inlineStr">
        <is>
          <t>PG3488.O4 Z72</t>
        </is>
      </c>
      <c r="C381" t="inlineStr">
        <is>
          <t>0                      PG 3488000O  4                  Z  72</t>
        </is>
      </c>
      <c r="D381" t="inlineStr">
        <is>
          <t>Alexander Solzhenitsyn / by Andrej Kodjak.</t>
        </is>
      </c>
      <c r="F381" t="inlineStr">
        <is>
          <t>No</t>
        </is>
      </c>
      <c r="G381" t="inlineStr">
        <is>
          <t>1</t>
        </is>
      </c>
      <c r="H381" t="inlineStr">
        <is>
          <t>No</t>
        </is>
      </c>
      <c r="I381" t="inlineStr">
        <is>
          <t>No</t>
        </is>
      </c>
      <c r="J381" t="inlineStr">
        <is>
          <t>0</t>
        </is>
      </c>
      <c r="K381" t="inlineStr">
        <is>
          <t>Kodjak, Andrej, 1926-</t>
        </is>
      </c>
      <c r="L381" t="inlineStr">
        <is>
          <t>Boston : Twayne Publishers, c1978.</t>
        </is>
      </c>
      <c r="M381" t="inlineStr">
        <is>
          <t>1978</t>
        </is>
      </c>
      <c r="O381" t="inlineStr">
        <is>
          <t>eng</t>
        </is>
      </c>
      <c r="P381" t="inlineStr">
        <is>
          <t>mau</t>
        </is>
      </c>
      <c r="Q381" t="inlineStr">
        <is>
          <t>Twayne's world authors series ; TWAS 479 : Russia</t>
        </is>
      </c>
      <c r="R381" t="inlineStr">
        <is>
          <t xml:space="preserve">PG </t>
        </is>
      </c>
      <c r="S381" t="n">
        <v>1</v>
      </c>
      <c r="T381" t="n">
        <v>1</v>
      </c>
      <c r="U381" t="inlineStr">
        <is>
          <t>1997-10-28</t>
        </is>
      </c>
      <c r="V381" t="inlineStr">
        <is>
          <t>1997-10-28</t>
        </is>
      </c>
      <c r="W381" t="inlineStr">
        <is>
          <t>1997-09-09</t>
        </is>
      </c>
      <c r="X381" t="inlineStr">
        <is>
          <t>1997-09-09</t>
        </is>
      </c>
      <c r="Y381" t="n">
        <v>1164</v>
      </c>
      <c r="Z381" t="n">
        <v>1064</v>
      </c>
      <c r="AA381" t="n">
        <v>1171</v>
      </c>
      <c r="AB381" t="n">
        <v>6</v>
      </c>
      <c r="AC381" t="n">
        <v>6</v>
      </c>
      <c r="AD381" t="n">
        <v>30</v>
      </c>
      <c r="AE381" t="n">
        <v>34</v>
      </c>
      <c r="AF381" t="n">
        <v>11</v>
      </c>
      <c r="AG381" t="n">
        <v>13</v>
      </c>
      <c r="AH381" t="n">
        <v>6</v>
      </c>
      <c r="AI381" t="n">
        <v>7</v>
      </c>
      <c r="AJ381" t="n">
        <v>15</v>
      </c>
      <c r="AK381" t="n">
        <v>16</v>
      </c>
      <c r="AL381" t="n">
        <v>5</v>
      </c>
      <c r="AM381" t="n">
        <v>5</v>
      </c>
      <c r="AN381" t="n">
        <v>0</v>
      </c>
      <c r="AO381" t="n">
        <v>0</v>
      </c>
      <c r="AP381" t="inlineStr">
        <is>
          <t>No</t>
        </is>
      </c>
      <c r="AQ381" t="inlineStr">
        <is>
          <t>Yes</t>
        </is>
      </c>
      <c r="AR381">
        <f>HYPERLINK("http://catalog.hathitrust.org/Record/000750765","HathiTrust Record")</f>
        <v/>
      </c>
      <c r="AS381">
        <f>HYPERLINK("https://creighton-primo.hosted.exlibrisgroup.com/primo-explore/search?tab=default_tab&amp;search_scope=EVERYTHING&amp;vid=01CRU&amp;lang=en_US&amp;offset=0&amp;query=any,contains,991004419749702656","Catalog Record")</f>
        <v/>
      </c>
      <c r="AT381">
        <f>HYPERLINK("http://www.worldcat.org/oclc/3380017","WorldCat Record")</f>
        <v/>
      </c>
      <c r="AU381" t="inlineStr">
        <is>
          <t>3943843665:eng</t>
        </is>
      </c>
      <c r="AV381" t="inlineStr">
        <is>
          <t>3380017</t>
        </is>
      </c>
      <c r="AW381" t="inlineStr">
        <is>
          <t>991004419749702656</t>
        </is>
      </c>
      <c r="AX381" t="inlineStr">
        <is>
          <t>991004419749702656</t>
        </is>
      </c>
      <c r="AY381" t="inlineStr">
        <is>
          <t>2272732750002656</t>
        </is>
      </c>
      <c r="AZ381" t="inlineStr">
        <is>
          <t>BOOK</t>
        </is>
      </c>
      <c r="BB381" t="inlineStr">
        <is>
          <t>9780805763201</t>
        </is>
      </c>
      <c r="BC381" t="inlineStr">
        <is>
          <t>32285003220653</t>
        </is>
      </c>
      <c r="BD381" t="inlineStr">
        <is>
          <t>893526081</t>
        </is>
      </c>
    </row>
    <row r="382">
      <c r="A382" t="inlineStr">
        <is>
          <t>No</t>
        </is>
      </c>
      <c r="B382" t="inlineStr">
        <is>
          <t>PG3488.O4 Z725</t>
        </is>
      </c>
      <c r="C382" t="inlineStr">
        <is>
          <t>0                      PG 3488000O  4                  Z  725</t>
        </is>
      </c>
      <c r="D382" t="inlineStr">
        <is>
          <t>Solzhenitsyn and Dostoevsky : a study in the polyphonic novel / Vladislav Krasnov.</t>
        </is>
      </c>
      <c r="F382" t="inlineStr">
        <is>
          <t>No</t>
        </is>
      </c>
      <c r="G382" t="inlineStr">
        <is>
          <t>1</t>
        </is>
      </c>
      <c r="H382" t="inlineStr">
        <is>
          <t>No</t>
        </is>
      </c>
      <c r="I382" t="inlineStr">
        <is>
          <t>No</t>
        </is>
      </c>
      <c r="J382" t="inlineStr">
        <is>
          <t>0</t>
        </is>
      </c>
      <c r="K382" t="inlineStr">
        <is>
          <t>Krasnov, Vladislav.</t>
        </is>
      </c>
      <c r="L382" t="inlineStr">
        <is>
          <t>Athens : University of Georgia Press, c1980.</t>
        </is>
      </c>
      <c r="M382" t="inlineStr">
        <is>
          <t>1980</t>
        </is>
      </c>
      <c r="O382" t="inlineStr">
        <is>
          <t>eng</t>
        </is>
      </c>
      <c r="P382" t="inlineStr">
        <is>
          <t>gau</t>
        </is>
      </c>
      <c r="R382" t="inlineStr">
        <is>
          <t xml:space="preserve">PG </t>
        </is>
      </c>
      <c r="S382" t="n">
        <v>2</v>
      </c>
      <c r="T382" t="n">
        <v>2</v>
      </c>
      <c r="U382" t="inlineStr">
        <is>
          <t>1995-04-05</t>
        </is>
      </c>
      <c r="V382" t="inlineStr">
        <is>
          <t>1995-04-05</t>
        </is>
      </c>
      <c r="W382" t="inlineStr">
        <is>
          <t>1993-04-28</t>
        </is>
      </c>
      <c r="X382" t="inlineStr">
        <is>
          <t>1993-04-28</t>
        </is>
      </c>
      <c r="Y382" t="n">
        <v>570</v>
      </c>
      <c r="Z382" t="n">
        <v>496</v>
      </c>
      <c r="AA382" t="n">
        <v>513</v>
      </c>
      <c r="AB382" t="n">
        <v>3</v>
      </c>
      <c r="AC382" t="n">
        <v>3</v>
      </c>
      <c r="AD382" t="n">
        <v>17</v>
      </c>
      <c r="AE382" t="n">
        <v>17</v>
      </c>
      <c r="AF382" t="n">
        <v>7</v>
      </c>
      <c r="AG382" t="n">
        <v>7</v>
      </c>
      <c r="AH382" t="n">
        <v>2</v>
      </c>
      <c r="AI382" t="n">
        <v>2</v>
      </c>
      <c r="AJ382" t="n">
        <v>9</v>
      </c>
      <c r="AK382" t="n">
        <v>9</v>
      </c>
      <c r="AL382" t="n">
        <v>2</v>
      </c>
      <c r="AM382" t="n">
        <v>2</v>
      </c>
      <c r="AN382" t="n">
        <v>0</v>
      </c>
      <c r="AO382" t="n">
        <v>0</v>
      </c>
      <c r="AP382" t="inlineStr">
        <is>
          <t>No</t>
        </is>
      </c>
      <c r="AQ382" t="inlineStr">
        <is>
          <t>Yes</t>
        </is>
      </c>
      <c r="AR382">
        <f>HYPERLINK("http://catalog.hathitrust.org/Record/000683091","HathiTrust Record")</f>
        <v/>
      </c>
      <c r="AS382">
        <f>HYPERLINK("https://creighton-primo.hosted.exlibrisgroup.com/primo-explore/search?tab=default_tab&amp;search_scope=EVERYTHING&amp;vid=01CRU&amp;lang=en_US&amp;offset=0&amp;query=any,contains,991004685369702656","Catalog Record")</f>
        <v/>
      </c>
      <c r="AT382">
        <f>HYPERLINK("http://www.worldcat.org/oclc/4591607","WorldCat Record")</f>
        <v/>
      </c>
      <c r="AU382" t="inlineStr">
        <is>
          <t>285578281:eng</t>
        </is>
      </c>
      <c r="AV382" t="inlineStr">
        <is>
          <t>4591607</t>
        </is>
      </c>
      <c r="AW382" t="inlineStr">
        <is>
          <t>991004685369702656</t>
        </is>
      </c>
      <c r="AX382" t="inlineStr">
        <is>
          <t>991004685369702656</t>
        </is>
      </c>
      <c r="AY382" t="inlineStr">
        <is>
          <t>2265793670002656</t>
        </is>
      </c>
      <c r="AZ382" t="inlineStr">
        <is>
          <t>BOOK</t>
        </is>
      </c>
      <c r="BB382" t="inlineStr">
        <is>
          <t>9780820304724</t>
        </is>
      </c>
      <c r="BC382" t="inlineStr">
        <is>
          <t>32285001649804</t>
        </is>
      </c>
      <c r="BD382" t="inlineStr">
        <is>
          <t>893263380</t>
        </is>
      </c>
    </row>
    <row r="383">
      <c r="A383" t="inlineStr">
        <is>
          <t>No</t>
        </is>
      </c>
      <c r="B383" t="inlineStr">
        <is>
          <t>PG3488.O4 Z86</t>
        </is>
      </c>
      <c r="C383" t="inlineStr">
        <is>
          <t>0                      PG 3488000O  4                  Z  86</t>
        </is>
      </c>
      <c r="D383" t="inlineStr">
        <is>
          <t>Aleksandr Solzhenitsyn : the major novels.</t>
        </is>
      </c>
      <c r="F383" t="inlineStr">
        <is>
          <t>No</t>
        </is>
      </c>
      <c r="G383" t="inlineStr">
        <is>
          <t>1</t>
        </is>
      </c>
      <c r="H383" t="inlineStr">
        <is>
          <t>No</t>
        </is>
      </c>
      <c r="I383" t="inlineStr">
        <is>
          <t>No</t>
        </is>
      </c>
      <c r="J383" t="inlineStr">
        <is>
          <t>0</t>
        </is>
      </c>
      <c r="K383" t="inlineStr">
        <is>
          <t>Rothberg, Abraham.</t>
        </is>
      </c>
      <c r="L383" t="inlineStr">
        <is>
          <t>Ithaca, N.Y. : Cornell University Press, [1971]</t>
        </is>
      </c>
      <c r="M383" t="inlineStr">
        <is>
          <t>1971</t>
        </is>
      </c>
      <c r="O383" t="inlineStr">
        <is>
          <t>eng</t>
        </is>
      </c>
      <c r="P383" t="inlineStr">
        <is>
          <t>nyu</t>
        </is>
      </c>
      <c r="R383" t="inlineStr">
        <is>
          <t xml:space="preserve">PG </t>
        </is>
      </c>
      <c r="S383" t="n">
        <v>5</v>
      </c>
      <c r="T383" t="n">
        <v>5</v>
      </c>
      <c r="U383" t="inlineStr">
        <is>
          <t>1996-12-05</t>
        </is>
      </c>
      <c r="V383" t="inlineStr">
        <is>
          <t>1996-12-05</t>
        </is>
      </c>
      <c r="W383" t="inlineStr">
        <is>
          <t>1995-05-02</t>
        </is>
      </c>
      <c r="X383" t="inlineStr">
        <is>
          <t>1995-05-02</t>
        </is>
      </c>
      <c r="Y383" t="n">
        <v>1359</v>
      </c>
      <c r="Z383" t="n">
        <v>1186</v>
      </c>
      <c r="AA383" t="n">
        <v>1194</v>
      </c>
      <c r="AB383" t="n">
        <v>12</v>
      </c>
      <c r="AC383" t="n">
        <v>12</v>
      </c>
      <c r="AD383" t="n">
        <v>42</v>
      </c>
      <c r="AE383" t="n">
        <v>42</v>
      </c>
      <c r="AF383" t="n">
        <v>16</v>
      </c>
      <c r="AG383" t="n">
        <v>16</v>
      </c>
      <c r="AH383" t="n">
        <v>8</v>
      </c>
      <c r="AI383" t="n">
        <v>8</v>
      </c>
      <c r="AJ383" t="n">
        <v>18</v>
      </c>
      <c r="AK383" t="n">
        <v>18</v>
      </c>
      <c r="AL383" t="n">
        <v>10</v>
      </c>
      <c r="AM383" t="n">
        <v>10</v>
      </c>
      <c r="AN383" t="n">
        <v>0</v>
      </c>
      <c r="AO383" t="n">
        <v>0</v>
      </c>
      <c r="AP383" t="inlineStr">
        <is>
          <t>No</t>
        </is>
      </c>
      <c r="AQ383" t="inlineStr">
        <is>
          <t>Yes</t>
        </is>
      </c>
      <c r="AR383">
        <f>HYPERLINK("http://catalog.hathitrust.org/Record/001110470","HathiTrust Record")</f>
        <v/>
      </c>
      <c r="AS383">
        <f>HYPERLINK("https://creighton-primo.hosted.exlibrisgroup.com/primo-explore/search?tab=default_tab&amp;search_scope=EVERYTHING&amp;vid=01CRU&amp;lang=en_US&amp;offset=0&amp;query=any,contains,991001237659702656","Catalog Record")</f>
        <v/>
      </c>
      <c r="AT383">
        <f>HYPERLINK("http://www.worldcat.org/oclc/206809","WorldCat Record")</f>
        <v/>
      </c>
      <c r="AU383" t="inlineStr">
        <is>
          <t>212183225:eng</t>
        </is>
      </c>
      <c r="AV383" t="inlineStr">
        <is>
          <t>206809</t>
        </is>
      </c>
      <c r="AW383" t="inlineStr">
        <is>
          <t>991001237659702656</t>
        </is>
      </c>
      <c r="AX383" t="inlineStr">
        <is>
          <t>991001237659702656</t>
        </is>
      </c>
      <c r="AY383" t="inlineStr">
        <is>
          <t>2255157590002656</t>
        </is>
      </c>
      <c r="AZ383" t="inlineStr">
        <is>
          <t>BOOK</t>
        </is>
      </c>
      <c r="BB383" t="inlineStr">
        <is>
          <t>9780801406683</t>
        </is>
      </c>
      <c r="BC383" t="inlineStr">
        <is>
          <t>32285002031135</t>
        </is>
      </c>
      <c r="BD383" t="inlineStr">
        <is>
          <t>893878754</t>
        </is>
      </c>
    </row>
    <row r="384">
      <c r="A384" t="inlineStr">
        <is>
          <t>No</t>
        </is>
      </c>
      <c r="B384" t="inlineStr">
        <is>
          <t>PG3488.O4 Z8713</t>
        </is>
      </c>
      <c r="C384" t="inlineStr">
        <is>
          <t>0                      PG 3488000O  4                  Z  8713</t>
        </is>
      </c>
      <c r="D384" t="inlineStr">
        <is>
          <t>Solzhenitsyn : Creator &amp; heroic deed / Leonid Rzhevsky ; translated by Sonja Miller.</t>
        </is>
      </c>
      <c r="F384" t="inlineStr">
        <is>
          <t>No</t>
        </is>
      </c>
      <c r="G384" t="inlineStr">
        <is>
          <t>1</t>
        </is>
      </c>
      <c r="H384" t="inlineStr">
        <is>
          <t>No</t>
        </is>
      </c>
      <c r="I384" t="inlineStr">
        <is>
          <t>No</t>
        </is>
      </c>
      <c r="J384" t="inlineStr">
        <is>
          <t>0</t>
        </is>
      </c>
      <c r="K384" t="inlineStr">
        <is>
          <t>Rzhevskiĭ, Leonid, 1905-1986.</t>
        </is>
      </c>
      <c r="L384" t="inlineStr">
        <is>
          <t>University : University of Alabama Press, c1978.</t>
        </is>
      </c>
      <c r="M384" t="inlineStr">
        <is>
          <t>1978</t>
        </is>
      </c>
      <c r="O384" t="inlineStr">
        <is>
          <t>eng</t>
        </is>
      </c>
      <c r="P384" t="inlineStr">
        <is>
          <t>alu</t>
        </is>
      </c>
      <c r="R384" t="inlineStr">
        <is>
          <t xml:space="preserve">PG </t>
        </is>
      </c>
      <c r="S384" t="n">
        <v>4</v>
      </c>
      <c r="T384" t="n">
        <v>4</v>
      </c>
      <c r="U384" t="inlineStr">
        <is>
          <t>1999-09-22</t>
        </is>
      </c>
      <c r="V384" t="inlineStr">
        <is>
          <t>1999-09-22</t>
        </is>
      </c>
      <c r="W384" t="inlineStr">
        <is>
          <t>1995-04-24</t>
        </is>
      </c>
      <c r="X384" t="inlineStr">
        <is>
          <t>1995-04-24</t>
        </is>
      </c>
      <c r="Y384" t="n">
        <v>571</v>
      </c>
      <c r="Z384" t="n">
        <v>477</v>
      </c>
      <c r="AA384" t="n">
        <v>485</v>
      </c>
      <c r="AB384" t="n">
        <v>3</v>
      </c>
      <c r="AC384" t="n">
        <v>3</v>
      </c>
      <c r="AD384" t="n">
        <v>21</v>
      </c>
      <c r="AE384" t="n">
        <v>21</v>
      </c>
      <c r="AF384" t="n">
        <v>7</v>
      </c>
      <c r="AG384" t="n">
        <v>7</v>
      </c>
      <c r="AH384" t="n">
        <v>7</v>
      </c>
      <c r="AI384" t="n">
        <v>7</v>
      </c>
      <c r="AJ384" t="n">
        <v>12</v>
      </c>
      <c r="AK384" t="n">
        <v>12</v>
      </c>
      <c r="AL384" t="n">
        <v>2</v>
      </c>
      <c r="AM384" t="n">
        <v>2</v>
      </c>
      <c r="AN384" t="n">
        <v>0</v>
      </c>
      <c r="AO384" t="n">
        <v>0</v>
      </c>
      <c r="AP384" t="inlineStr">
        <is>
          <t>No</t>
        </is>
      </c>
      <c r="AQ384" t="inlineStr">
        <is>
          <t>Yes</t>
        </is>
      </c>
      <c r="AR384">
        <f>HYPERLINK("http://catalog.hathitrust.org/Record/000748403","HathiTrust Record")</f>
        <v/>
      </c>
      <c r="AS384">
        <f>HYPERLINK("https://creighton-primo.hosted.exlibrisgroup.com/primo-explore/search?tab=default_tab&amp;search_scope=EVERYTHING&amp;vid=01CRU&amp;lang=en_US&amp;offset=0&amp;query=any,contains,991004403009702656","Catalog Record")</f>
        <v/>
      </c>
      <c r="AT384">
        <f>HYPERLINK("http://www.worldcat.org/oclc/3311008","WorldCat Record")</f>
        <v/>
      </c>
      <c r="AU384" t="inlineStr">
        <is>
          <t>3901225529:eng</t>
        </is>
      </c>
      <c r="AV384" t="inlineStr">
        <is>
          <t>3311008</t>
        </is>
      </c>
      <c r="AW384" t="inlineStr">
        <is>
          <t>991004403009702656</t>
        </is>
      </c>
      <c r="AX384" t="inlineStr">
        <is>
          <t>991004403009702656</t>
        </is>
      </c>
      <c r="AY384" t="inlineStr">
        <is>
          <t>2271505160002656</t>
        </is>
      </c>
      <c r="AZ384" t="inlineStr">
        <is>
          <t>BOOK</t>
        </is>
      </c>
      <c r="BB384" t="inlineStr">
        <is>
          <t>9780817379001</t>
        </is>
      </c>
      <c r="BC384" t="inlineStr">
        <is>
          <t>32285002028370</t>
        </is>
      </c>
      <c r="BD384" t="inlineStr">
        <is>
          <t>893430028</t>
        </is>
      </c>
    </row>
    <row r="385">
      <c r="A385" t="inlineStr">
        <is>
          <t>No</t>
        </is>
      </c>
      <c r="B385" t="inlineStr">
        <is>
          <t>PG3488.O4 Z873 1984</t>
        </is>
      </c>
      <c r="C385" t="inlineStr">
        <is>
          <t>0                      PG 3488000O  4                  Z  873         1984</t>
        </is>
      </c>
      <c r="D385" t="inlineStr">
        <is>
          <t>Solzhenitsyn : a biography / Michael Scammell.</t>
        </is>
      </c>
      <c r="F385" t="inlineStr">
        <is>
          <t>No</t>
        </is>
      </c>
      <c r="G385" t="inlineStr">
        <is>
          <t>1</t>
        </is>
      </c>
      <c r="H385" t="inlineStr">
        <is>
          <t>No</t>
        </is>
      </c>
      <c r="I385" t="inlineStr">
        <is>
          <t>No</t>
        </is>
      </c>
      <c r="J385" t="inlineStr">
        <is>
          <t>0</t>
        </is>
      </c>
      <c r="K385" t="inlineStr">
        <is>
          <t>Scammell, Michael.</t>
        </is>
      </c>
      <c r="L385" t="inlineStr">
        <is>
          <t>New York : Norton, c1984.</t>
        </is>
      </c>
      <c r="M385" t="inlineStr">
        <is>
          <t>1984</t>
        </is>
      </c>
      <c r="N385" t="inlineStr">
        <is>
          <t>1st ed.</t>
        </is>
      </c>
      <c r="O385" t="inlineStr">
        <is>
          <t>eng</t>
        </is>
      </c>
      <c r="P385" t="inlineStr">
        <is>
          <t>nyu</t>
        </is>
      </c>
      <c r="R385" t="inlineStr">
        <is>
          <t xml:space="preserve">PG </t>
        </is>
      </c>
      <c r="S385" t="n">
        <v>2</v>
      </c>
      <c r="T385" t="n">
        <v>2</v>
      </c>
      <c r="U385" t="inlineStr">
        <is>
          <t>2002-11-20</t>
        </is>
      </c>
      <c r="V385" t="inlineStr">
        <is>
          <t>2002-11-20</t>
        </is>
      </c>
      <c r="W385" t="inlineStr">
        <is>
          <t>1993-04-28</t>
        </is>
      </c>
      <c r="X385" t="inlineStr">
        <is>
          <t>1993-04-28</t>
        </is>
      </c>
      <c r="Y385" t="n">
        <v>1731</v>
      </c>
      <c r="Z385" t="n">
        <v>1577</v>
      </c>
      <c r="AA385" t="n">
        <v>1603</v>
      </c>
      <c r="AB385" t="n">
        <v>11</v>
      </c>
      <c r="AC385" t="n">
        <v>11</v>
      </c>
      <c r="AD385" t="n">
        <v>44</v>
      </c>
      <c r="AE385" t="n">
        <v>45</v>
      </c>
      <c r="AF385" t="n">
        <v>17</v>
      </c>
      <c r="AG385" t="n">
        <v>18</v>
      </c>
      <c r="AH385" t="n">
        <v>9</v>
      </c>
      <c r="AI385" t="n">
        <v>9</v>
      </c>
      <c r="AJ385" t="n">
        <v>21</v>
      </c>
      <c r="AK385" t="n">
        <v>22</v>
      </c>
      <c r="AL385" t="n">
        <v>7</v>
      </c>
      <c r="AM385" t="n">
        <v>7</v>
      </c>
      <c r="AN385" t="n">
        <v>0</v>
      </c>
      <c r="AO385" t="n">
        <v>0</v>
      </c>
      <c r="AP385" t="inlineStr">
        <is>
          <t>No</t>
        </is>
      </c>
      <c r="AQ385" t="inlineStr">
        <is>
          <t>Yes</t>
        </is>
      </c>
      <c r="AR385">
        <f>HYPERLINK("http://catalog.hathitrust.org/Record/000600862","HathiTrust Record")</f>
        <v/>
      </c>
      <c r="AS385">
        <f>HYPERLINK("https://creighton-primo.hosted.exlibrisgroup.com/primo-explore/search?tab=default_tab&amp;search_scope=EVERYTHING&amp;vid=01CRU&amp;lang=en_US&amp;offset=0&amp;query=any,contains,991000365709702656","Catalog Record")</f>
        <v/>
      </c>
      <c r="AT385">
        <f>HYPERLINK("http://www.worldcat.org/oclc/10402712","WorldCat Record")</f>
        <v/>
      </c>
      <c r="AU385" t="inlineStr">
        <is>
          <t>810695270:eng</t>
        </is>
      </c>
      <c r="AV385" t="inlineStr">
        <is>
          <t>10402712</t>
        </is>
      </c>
      <c r="AW385" t="inlineStr">
        <is>
          <t>991000365709702656</t>
        </is>
      </c>
      <c r="AX385" t="inlineStr">
        <is>
          <t>991000365709702656</t>
        </is>
      </c>
      <c r="AY385" t="inlineStr">
        <is>
          <t>2269262270002656</t>
        </is>
      </c>
      <c r="AZ385" t="inlineStr">
        <is>
          <t>BOOK</t>
        </is>
      </c>
      <c r="BB385" t="inlineStr">
        <is>
          <t>9780393018028</t>
        </is>
      </c>
      <c r="BC385" t="inlineStr">
        <is>
          <t>32285001649820</t>
        </is>
      </c>
      <c r="BD385" t="inlineStr">
        <is>
          <t>893444280</t>
        </is>
      </c>
    </row>
    <row r="386">
      <c r="A386" t="inlineStr">
        <is>
          <t>No</t>
        </is>
      </c>
      <c r="B386" t="inlineStr">
        <is>
          <t>PG3488.O4 Z8865 1985</t>
        </is>
      </c>
      <c r="C386" t="inlineStr">
        <is>
          <t>0                      PG 3488000O  4                  Z  8865        1985</t>
        </is>
      </c>
      <c r="D386" t="inlineStr">
        <is>
          <t>Solzhenitsyn in exile : critical essays and documentary materials / edited by John B. Dunlop, Richard S. Haugh, Michael Nicholson.</t>
        </is>
      </c>
      <c r="F386" t="inlineStr">
        <is>
          <t>No</t>
        </is>
      </c>
      <c r="G386" t="inlineStr">
        <is>
          <t>1</t>
        </is>
      </c>
      <c r="H386" t="inlineStr">
        <is>
          <t>No</t>
        </is>
      </c>
      <c r="I386" t="inlineStr">
        <is>
          <t>No</t>
        </is>
      </c>
      <c r="J386" t="inlineStr">
        <is>
          <t>0</t>
        </is>
      </c>
      <c r="L386" t="inlineStr">
        <is>
          <t>Stanford, Calif. : Hoover Institution, 1985, c1982.</t>
        </is>
      </c>
      <c r="M386" t="inlineStr">
        <is>
          <t>1985</t>
        </is>
      </c>
      <c r="O386" t="inlineStr">
        <is>
          <t>eng</t>
        </is>
      </c>
      <c r="P386" t="inlineStr">
        <is>
          <t>cau</t>
        </is>
      </c>
      <c r="R386" t="inlineStr">
        <is>
          <t xml:space="preserve">PG </t>
        </is>
      </c>
      <c r="S386" t="n">
        <v>1</v>
      </c>
      <c r="T386" t="n">
        <v>1</v>
      </c>
      <c r="U386" t="inlineStr">
        <is>
          <t>1995-04-05</t>
        </is>
      </c>
      <c r="V386" t="inlineStr">
        <is>
          <t>1995-04-05</t>
        </is>
      </c>
      <c r="W386" t="inlineStr">
        <is>
          <t>1993-04-28</t>
        </is>
      </c>
      <c r="X386" t="inlineStr">
        <is>
          <t>1993-04-28</t>
        </is>
      </c>
      <c r="Y386" t="n">
        <v>826</v>
      </c>
      <c r="Z386" t="n">
        <v>709</v>
      </c>
      <c r="AA386" t="n">
        <v>716</v>
      </c>
      <c r="AB386" t="n">
        <v>6</v>
      </c>
      <c r="AC386" t="n">
        <v>6</v>
      </c>
      <c r="AD386" t="n">
        <v>37</v>
      </c>
      <c r="AE386" t="n">
        <v>37</v>
      </c>
      <c r="AF386" t="n">
        <v>13</v>
      </c>
      <c r="AG386" t="n">
        <v>13</v>
      </c>
      <c r="AH386" t="n">
        <v>8</v>
      </c>
      <c r="AI386" t="n">
        <v>8</v>
      </c>
      <c r="AJ386" t="n">
        <v>18</v>
      </c>
      <c r="AK386" t="n">
        <v>18</v>
      </c>
      <c r="AL386" t="n">
        <v>5</v>
      </c>
      <c r="AM386" t="n">
        <v>5</v>
      </c>
      <c r="AN386" t="n">
        <v>1</v>
      </c>
      <c r="AO386" t="n">
        <v>1</v>
      </c>
      <c r="AP386" t="inlineStr">
        <is>
          <t>No</t>
        </is>
      </c>
      <c r="AQ386" t="inlineStr">
        <is>
          <t>Yes</t>
        </is>
      </c>
      <c r="AR386">
        <f>HYPERLINK("http://catalog.hathitrust.org/Record/000580677","HathiTrust Record")</f>
        <v/>
      </c>
      <c r="AS386">
        <f>HYPERLINK("https://creighton-primo.hosted.exlibrisgroup.com/primo-explore/search?tab=default_tab&amp;search_scope=EVERYTHING&amp;vid=01CRU&amp;lang=en_US&amp;offset=0&amp;query=any,contains,991000436869702656","Catalog Record")</f>
        <v/>
      </c>
      <c r="AT386">
        <f>HYPERLINK("http://www.worldcat.org/oclc/10799191","WorldCat Record")</f>
        <v/>
      </c>
      <c r="AU386" t="inlineStr">
        <is>
          <t>891567062:eng</t>
        </is>
      </c>
      <c r="AV386" t="inlineStr">
        <is>
          <t>10799191</t>
        </is>
      </c>
      <c r="AW386" t="inlineStr">
        <is>
          <t>991000436869702656</t>
        </is>
      </c>
      <c r="AX386" t="inlineStr">
        <is>
          <t>991000436869702656</t>
        </is>
      </c>
      <c r="AY386" t="inlineStr">
        <is>
          <t>2269800300002656</t>
        </is>
      </c>
      <c r="AZ386" t="inlineStr">
        <is>
          <t>BOOK</t>
        </is>
      </c>
      <c r="BB386" t="inlineStr">
        <is>
          <t>9780817980511</t>
        </is>
      </c>
      <c r="BC386" t="inlineStr">
        <is>
          <t>32285001649838</t>
        </is>
      </c>
      <c r="BD386" t="inlineStr">
        <is>
          <t>893871655</t>
        </is>
      </c>
    </row>
    <row r="387">
      <c r="A387" t="inlineStr">
        <is>
          <t>No</t>
        </is>
      </c>
      <c r="B387" t="inlineStr">
        <is>
          <t>PG3489.R5 A22</t>
        </is>
      </c>
      <c r="C387" t="inlineStr">
        <is>
          <t>0                      PG 3489000R  5                  A  22</t>
        </is>
      </c>
      <c r="D387" t="inlineStr">
        <is>
          <t>The long goodbye : three novellas / Yury Trifonov ; translated by Helen P. Burlingame and Ellendea Proffer.</t>
        </is>
      </c>
      <c r="F387" t="inlineStr">
        <is>
          <t>No</t>
        </is>
      </c>
      <c r="G387" t="inlineStr">
        <is>
          <t>1</t>
        </is>
      </c>
      <c r="H387" t="inlineStr">
        <is>
          <t>No</t>
        </is>
      </c>
      <c r="I387" t="inlineStr">
        <is>
          <t>No</t>
        </is>
      </c>
      <c r="J387" t="inlineStr">
        <is>
          <t>0</t>
        </is>
      </c>
      <c r="K387" t="inlineStr">
        <is>
          <t>Trifonov, I︠U︡riĭ, 1925-1981.</t>
        </is>
      </c>
      <c r="L387" t="inlineStr">
        <is>
          <t>New York : Harper &amp; Row, c1978.</t>
        </is>
      </c>
      <c r="M387" t="inlineStr">
        <is>
          <t>1978</t>
        </is>
      </c>
      <c r="O387" t="inlineStr">
        <is>
          <t>eng</t>
        </is>
      </c>
      <c r="P387" t="inlineStr">
        <is>
          <t>nyu</t>
        </is>
      </c>
      <c r="R387" t="inlineStr">
        <is>
          <t xml:space="preserve">PG </t>
        </is>
      </c>
      <c r="S387" t="n">
        <v>0</v>
      </c>
      <c r="T387" t="n">
        <v>0</v>
      </c>
      <c r="U387" t="inlineStr">
        <is>
          <t>2009-11-10</t>
        </is>
      </c>
      <c r="V387" t="inlineStr">
        <is>
          <t>2009-11-10</t>
        </is>
      </c>
      <c r="W387" t="inlineStr">
        <is>
          <t>1997-09-09</t>
        </is>
      </c>
      <c r="X387" t="inlineStr">
        <is>
          <t>1997-09-09</t>
        </is>
      </c>
      <c r="Y387" t="n">
        <v>475</v>
      </c>
      <c r="Z387" t="n">
        <v>401</v>
      </c>
      <c r="AA387" t="n">
        <v>462</v>
      </c>
      <c r="AB387" t="n">
        <v>3</v>
      </c>
      <c r="AC387" t="n">
        <v>4</v>
      </c>
      <c r="AD387" t="n">
        <v>14</v>
      </c>
      <c r="AE387" t="n">
        <v>16</v>
      </c>
      <c r="AF387" t="n">
        <v>4</v>
      </c>
      <c r="AG387" t="n">
        <v>4</v>
      </c>
      <c r="AH387" t="n">
        <v>6</v>
      </c>
      <c r="AI387" t="n">
        <v>6</v>
      </c>
      <c r="AJ387" t="n">
        <v>6</v>
      </c>
      <c r="AK387" t="n">
        <v>7</v>
      </c>
      <c r="AL387" t="n">
        <v>2</v>
      </c>
      <c r="AM387" t="n">
        <v>3</v>
      </c>
      <c r="AN387" t="n">
        <v>0</v>
      </c>
      <c r="AO387" t="n">
        <v>0</v>
      </c>
      <c r="AP387" t="inlineStr">
        <is>
          <t>No</t>
        </is>
      </c>
      <c r="AQ387" t="inlineStr">
        <is>
          <t>Yes</t>
        </is>
      </c>
      <c r="AR387">
        <f>HYPERLINK("http://catalog.hathitrust.org/Record/000090634","HathiTrust Record")</f>
        <v/>
      </c>
      <c r="AS387">
        <f>HYPERLINK("https://creighton-primo.hosted.exlibrisgroup.com/primo-explore/search?tab=default_tab&amp;search_scope=EVERYTHING&amp;vid=01CRU&amp;lang=en_US&amp;offset=0&amp;query=any,contains,991004467889702656","Catalog Record")</f>
        <v/>
      </c>
      <c r="AT387">
        <f>HYPERLINK("http://www.worldcat.org/oclc/3580970","WorldCat Record")</f>
        <v/>
      </c>
      <c r="AU387" t="inlineStr">
        <is>
          <t>3901443737:eng</t>
        </is>
      </c>
      <c r="AV387" t="inlineStr">
        <is>
          <t>3580970</t>
        </is>
      </c>
      <c r="AW387" t="inlineStr">
        <is>
          <t>991004467889702656</t>
        </is>
      </c>
      <c r="AX387" t="inlineStr">
        <is>
          <t>991004467889702656</t>
        </is>
      </c>
      <c r="AY387" t="inlineStr">
        <is>
          <t>2263070420002656</t>
        </is>
      </c>
      <c r="AZ387" t="inlineStr">
        <is>
          <t>BOOK</t>
        </is>
      </c>
      <c r="BB387" t="inlineStr">
        <is>
          <t>9780060143718</t>
        </is>
      </c>
      <c r="BC387" t="inlineStr">
        <is>
          <t>32285003220687</t>
        </is>
      </c>
      <c r="BD387" t="inlineStr">
        <is>
          <t>893800994</t>
        </is>
      </c>
    </row>
    <row r="388">
      <c r="A388" t="inlineStr">
        <is>
          <t>No</t>
        </is>
      </c>
      <c r="B388" t="inlineStr">
        <is>
          <t>PG4111 .H3</t>
        </is>
      </c>
      <c r="C388" t="inlineStr">
        <is>
          <t>0                      PG 4111000H  3</t>
        </is>
      </c>
      <c r="D388" t="inlineStr">
        <is>
          <t>A modern Czech grammar [by] William E. Harkins, assisted by Marie Hnyková.</t>
        </is>
      </c>
      <c r="F388" t="inlineStr">
        <is>
          <t>No</t>
        </is>
      </c>
      <c r="G388" t="inlineStr">
        <is>
          <t>1</t>
        </is>
      </c>
      <c r="H388" t="inlineStr">
        <is>
          <t>No</t>
        </is>
      </c>
      <c r="I388" t="inlineStr">
        <is>
          <t>No</t>
        </is>
      </c>
      <c r="J388" t="inlineStr">
        <is>
          <t>0</t>
        </is>
      </c>
      <c r="K388" t="inlineStr">
        <is>
          <t>Harkins, William Edward.</t>
        </is>
      </c>
      <c r="L388" t="inlineStr">
        <is>
          <t>New York, King's Crown Press, 1953.</t>
        </is>
      </c>
      <c r="M388" t="inlineStr">
        <is>
          <t>1953</t>
        </is>
      </c>
      <c r="O388" t="inlineStr">
        <is>
          <t>eng</t>
        </is>
      </c>
      <c r="P388" t="inlineStr">
        <is>
          <t>nyu</t>
        </is>
      </c>
      <c r="Q388" t="inlineStr">
        <is>
          <t>Columbia Slavic studies</t>
        </is>
      </c>
      <c r="R388" t="inlineStr">
        <is>
          <t xml:space="preserve">PG </t>
        </is>
      </c>
      <c r="S388" t="n">
        <v>2</v>
      </c>
      <c r="T388" t="n">
        <v>2</v>
      </c>
      <c r="U388" t="inlineStr">
        <is>
          <t>2008-03-13</t>
        </is>
      </c>
      <c r="V388" t="inlineStr">
        <is>
          <t>2008-03-13</t>
        </is>
      </c>
      <c r="W388" t="inlineStr">
        <is>
          <t>1997-09-09</t>
        </is>
      </c>
      <c r="X388" t="inlineStr">
        <is>
          <t>1997-09-09</t>
        </is>
      </c>
      <c r="Y388" t="n">
        <v>375</v>
      </c>
      <c r="Z388" t="n">
        <v>312</v>
      </c>
      <c r="AA388" t="n">
        <v>321</v>
      </c>
      <c r="AB388" t="n">
        <v>3</v>
      </c>
      <c r="AC388" t="n">
        <v>3</v>
      </c>
      <c r="AD388" t="n">
        <v>8</v>
      </c>
      <c r="AE388" t="n">
        <v>8</v>
      </c>
      <c r="AF388" t="n">
        <v>2</v>
      </c>
      <c r="AG388" t="n">
        <v>2</v>
      </c>
      <c r="AH388" t="n">
        <v>2</v>
      </c>
      <c r="AI388" t="n">
        <v>2</v>
      </c>
      <c r="AJ388" t="n">
        <v>6</v>
      </c>
      <c r="AK388" t="n">
        <v>6</v>
      </c>
      <c r="AL388" t="n">
        <v>1</v>
      </c>
      <c r="AM388" t="n">
        <v>1</v>
      </c>
      <c r="AN388" t="n">
        <v>0</v>
      </c>
      <c r="AO388" t="n">
        <v>0</v>
      </c>
      <c r="AP388" t="inlineStr">
        <is>
          <t>No</t>
        </is>
      </c>
      <c r="AQ388" t="inlineStr">
        <is>
          <t>No</t>
        </is>
      </c>
      <c r="AS388">
        <f>HYPERLINK("https://creighton-primo.hosted.exlibrisgroup.com/primo-explore/search?tab=default_tab&amp;search_scope=EVERYTHING&amp;vid=01CRU&amp;lang=en_US&amp;offset=0&amp;query=any,contains,991002328979702656","Catalog Record")</f>
        <v/>
      </c>
      <c r="AT388">
        <f>HYPERLINK("http://www.worldcat.org/oclc/321913","WorldCat Record")</f>
        <v/>
      </c>
      <c r="AU388" t="inlineStr">
        <is>
          <t>1403163:eng</t>
        </is>
      </c>
      <c r="AV388" t="inlineStr">
        <is>
          <t>321913</t>
        </is>
      </c>
      <c r="AW388" t="inlineStr">
        <is>
          <t>991002328979702656</t>
        </is>
      </c>
      <c r="AX388" t="inlineStr">
        <is>
          <t>991002328979702656</t>
        </is>
      </c>
      <c r="AY388" t="inlineStr">
        <is>
          <t>2257124690002656</t>
        </is>
      </c>
      <c r="AZ388" t="inlineStr">
        <is>
          <t>BOOK</t>
        </is>
      </c>
      <c r="BC388" t="inlineStr">
        <is>
          <t>32285003220729</t>
        </is>
      </c>
      <c r="BD388" t="inlineStr">
        <is>
          <t>893710153</t>
        </is>
      </c>
    </row>
    <row r="389">
      <c r="A389" t="inlineStr">
        <is>
          <t>No</t>
        </is>
      </c>
      <c r="B389" t="inlineStr">
        <is>
          <t>PG4111 .S8</t>
        </is>
      </c>
      <c r="C389" t="inlineStr">
        <is>
          <t>0                      PG 4111000S  8</t>
        </is>
      </c>
      <c r="D389" t="inlineStr">
        <is>
          <t>Czech (Bohemian) grammar, by O. Štěpánek ...</t>
        </is>
      </c>
      <c r="F389" t="inlineStr">
        <is>
          <t>No</t>
        </is>
      </c>
      <c r="G389" t="inlineStr">
        <is>
          <t>1</t>
        </is>
      </c>
      <c r="H389" t="inlineStr">
        <is>
          <t>No</t>
        </is>
      </c>
      <c r="I389" t="inlineStr">
        <is>
          <t>No</t>
        </is>
      </c>
      <c r="J389" t="inlineStr">
        <is>
          <t>0</t>
        </is>
      </c>
      <c r="K389" t="inlineStr">
        <is>
          <t>Štěpánek, Orin.</t>
        </is>
      </c>
      <c r="L389" t="inlineStr">
        <is>
          <t>Omaha, The Czech Historical Society of Nebraska, 1933.</t>
        </is>
      </c>
      <c r="M389" t="inlineStr">
        <is>
          <t>1933</t>
        </is>
      </c>
      <c r="O389" t="inlineStr">
        <is>
          <t>cze</t>
        </is>
      </c>
      <c r="P389" t="inlineStr">
        <is>
          <t>nbu</t>
        </is>
      </c>
      <c r="R389" t="inlineStr">
        <is>
          <t xml:space="preserve">PG </t>
        </is>
      </c>
      <c r="S389" t="n">
        <v>3</v>
      </c>
      <c r="T389" t="n">
        <v>3</v>
      </c>
      <c r="U389" t="inlineStr">
        <is>
          <t>2005-05-26</t>
        </is>
      </c>
      <c r="V389" t="inlineStr">
        <is>
          <t>2005-05-26</t>
        </is>
      </c>
      <c r="W389" t="inlineStr">
        <is>
          <t>1997-09-09</t>
        </is>
      </c>
      <c r="X389" t="inlineStr">
        <is>
          <t>1997-09-09</t>
        </is>
      </c>
      <c r="Y389" t="n">
        <v>34</v>
      </c>
      <c r="Z389" t="n">
        <v>31</v>
      </c>
      <c r="AA389" t="n">
        <v>31</v>
      </c>
      <c r="AB389" t="n">
        <v>5</v>
      </c>
      <c r="AC389" t="n">
        <v>5</v>
      </c>
      <c r="AD389" t="n">
        <v>2</v>
      </c>
      <c r="AE389" t="n">
        <v>2</v>
      </c>
      <c r="AF389" t="n">
        <v>0</v>
      </c>
      <c r="AG389" t="n">
        <v>0</v>
      </c>
      <c r="AH389" t="n">
        <v>0</v>
      </c>
      <c r="AI389" t="n">
        <v>0</v>
      </c>
      <c r="AJ389" t="n">
        <v>0</v>
      </c>
      <c r="AK389" t="n">
        <v>0</v>
      </c>
      <c r="AL389" t="n">
        <v>2</v>
      </c>
      <c r="AM389" t="n">
        <v>2</v>
      </c>
      <c r="AN389" t="n">
        <v>0</v>
      </c>
      <c r="AO389" t="n">
        <v>0</v>
      </c>
      <c r="AP389" t="inlineStr">
        <is>
          <t>No</t>
        </is>
      </c>
      <c r="AQ389" t="inlineStr">
        <is>
          <t>Yes</t>
        </is>
      </c>
      <c r="AR389">
        <f>HYPERLINK("http://catalog.hathitrust.org/Record/102202856","HathiTrust Record")</f>
        <v/>
      </c>
      <c r="AS389">
        <f>HYPERLINK("https://creighton-primo.hosted.exlibrisgroup.com/primo-explore/search?tab=default_tab&amp;search_scope=EVERYTHING&amp;vid=01CRU&amp;lang=en_US&amp;offset=0&amp;query=any,contains,991003587069702656","Catalog Record")</f>
        <v/>
      </c>
      <c r="AT389">
        <f>HYPERLINK("http://www.worldcat.org/oclc/1167870","WorldCat Record")</f>
        <v/>
      </c>
      <c r="AU389" t="inlineStr">
        <is>
          <t>2106794:eng</t>
        </is>
      </c>
      <c r="AV389" t="inlineStr">
        <is>
          <t>1167870</t>
        </is>
      </c>
      <c r="AW389" t="inlineStr">
        <is>
          <t>991003587069702656</t>
        </is>
      </c>
      <c r="AX389" t="inlineStr">
        <is>
          <t>991003587069702656</t>
        </is>
      </c>
      <c r="AY389" t="inlineStr">
        <is>
          <t>2267933860002656</t>
        </is>
      </c>
      <c r="AZ389" t="inlineStr">
        <is>
          <t>BOOK</t>
        </is>
      </c>
      <c r="BC389" t="inlineStr">
        <is>
          <t>32285003220760</t>
        </is>
      </c>
      <c r="BD389" t="inlineStr">
        <is>
          <t>893881331</t>
        </is>
      </c>
    </row>
    <row r="390">
      <c r="A390" t="inlineStr">
        <is>
          <t>No</t>
        </is>
      </c>
      <c r="B390" t="inlineStr">
        <is>
          <t>PG5038.H663 V5 1921</t>
        </is>
      </c>
      <c r="C390" t="inlineStr">
        <is>
          <t>0                      PG 5038000H  663                V  5           1921</t>
        </is>
      </c>
      <c r="D390" t="inlineStr">
        <is>
          <t>Vlast (práce z doby svetové války).</t>
        </is>
      </c>
      <c r="F390" t="inlineStr">
        <is>
          <t>No</t>
        </is>
      </c>
      <c r="G390" t="inlineStr">
        <is>
          <t>1</t>
        </is>
      </c>
      <c r="H390" t="inlineStr">
        <is>
          <t>No</t>
        </is>
      </c>
      <c r="I390" t="inlineStr">
        <is>
          <t>No</t>
        </is>
      </c>
      <c r="J390" t="inlineStr">
        <is>
          <t>0</t>
        </is>
      </c>
      <c r="K390" t="inlineStr">
        <is>
          <t>Horký, Karel, 1879-1965.</t>
        </is>
      </c>
      <c r="L390" t="inlineStr">
        <is>
          <t>Bělé u Bezděze, Kotršal &amp; Kühnel, 1921.</t>
        </is>
      </c>
      <c r="M390" t="inlineStr">
        <is>
          <t>1921</t>
        </is>
      </c>
      <c r="O390" t="inlineStr">
        <is>
          <t>cze</t>
        </is>
      </c>
      <c r="P390" t="inlineStr">
        <is>
          <t xml:space="preserve">xx </t>
        </is>
      </c>
      <c r="R390" t="inlineStr">
        <is>
          <t xml:space="preserve">PG </t>
        </is>
      </c>
      <c r="S390" t="n">
        <v>1</v>
      </c>
      <c r="T390" t="n">
        <v>1</v>
      </c>
      <c r="U390" t="inlineStr">
        <is>
          <t>2006-06-05</t>
        </is>
      </c>
      <c r="V390" t="inlineStr">
        <is>
          <t>2006-06-05</t>
        </is>
      </c>
      <c r="W390" t="inlineStr">
        <is>
          <t>1997-09-09</t>
        </is>
      </c>
      <c r="X390" t="inlineStr">
        <is>
          <t>1997-09-09</t>
        </is>
      </c>
      <c r="Y390" t="n">
        <v>4</v>
      </c>
      <c r="Z390" t="n">
        <v>4</v>
      </c>
      <c r="AA390" t="n">
        <v>7</v>
      </c>
      <c r="AB390" t="n">
        <v>2</v>
      </c>
      <c r="AC390" t="n">
        <v>2</v>
      </c>
      <c r="AD390" t="n">
        <v>1</v>
      </c>
      <c r="AE390" t="n">
        <v>1</v>
      </c>
      <c r="AF390" t="n">
        <v>0</v>
      </c>
      <c r="AG390" t="n">
        <v>0</v>
      </c>
      <c r="AH390" t="n">
        <v>0</v>
      </c>
      <c r="AI390" t="n">
        <v>0</v>
      </c>
      <c r="AJ390" t="n">
        <v>0</v>
      </c>
      <c r="AK390" t="n">
        <v>0</v>
      </c>
      <c r="AL390" t="n">
        <v>1</v>
      </c>
      <c r="AM390" t="n">
        <v>1</v>
      </c>
      <c r="AN390" t="n">
        <v>0</v>
      </c>
      <c r="AO390" t="n">
        <v>0</v>
      </c>
      <c r="AP390" t="inlineStr">
        <is>
          <t>No</t>
        </is>
      </c>
      <c r="AQ390" t="inlineStr">
        <is>
          <t>No</t>
        </is>
      </c>
      <c r="AS390">
        <f>HYPERLINK("https://creighton-primo.hosted.exlibrisgroup.com/primo-explore/search?tab=default_tab&amp;search_scope=EVERYTHING&amp;vid=01CRU&amp;lang=en_US&amp;offset=0&amp;query=any,contains,991005077379702656","Catalog Record")</f>
        <v/>
      </c>
      <c r="AT390">
        <f>HYPERLINK("http://www.worldcat.org/oclc/7145003","WorldCat Record")</f>
        <v/>
      </c>
      <c r="AU390" t="inlineStr">
        <is>
          <t>26670904:cze</t>
        </is>
      </c>
      <c r="AV390" t="inlineStr">
        <is>
          <t>7145003</t>
        </is>
      </c>
      <c r="AW390" t="inlineStr">
        <is>
          <t>991005077379702656</t>
        </is>
      </c>
      <c r="AX390" t="inlineStr">
        <is>
          <t>991005077379702656</t>
        </is>
      </c>
      <c r="AY390" t="inlineStr">
        <is>
          <t>2262990200002656</t>
        </is>
      </c>
      <c r="AZ390" t="inlineStr">
        <is>
          <t>BOOK</t>
        </is>
      </c>
      <c r="BC390" t="inlineStr">
        <is>
          <t>32285003221073</t>
        </is>
      </c>
      <c r="BD390" t="inlineStr">
        <is>
          <t>893876895</t>
        </is>
      </c>
    </row>
    <row r="391">
      <c r="A391" t="inlineStr">
        <is>
          <t>No</t>
        </is>
      </c>
      <c r="B391" t="inlineStr">
        <is>
          <t>PG5038.P7 Z3</t>
        </is>
      </c>
      <c r="C391" t="inlineStr">
        <is>
          <t>0                      PG 5038000P  7                  Z  3</t>
        </is>
      </c>
      <c r="D391" t="inlineStr">
        <is>
          <t>Zahrady. Gazda z Gomby.--Trio u sv. Romalda.--Zabrada.--Dvě ukolébavky.</t>
        </is>
      </c>
      <c r="F391" t="inlineStr">
        <is>
          <t>No</t>
        </is>
      </c>
      <c r="G391" t="inlineStr">
        <is>
          <t>1</t>
        </is>
      </c>
      <c r="H391" t="inlineStr">
        <is>
          <t>No</t>
        </is>
      </c>
      <c r="I391" t="inlineStr">
        <is>
          <t>No</t>
        </is>
      </c>
      <c r="J391" t="inlineStr">
        <is>
          <t>0</t>
        </is>
      </c>
      <c r="K391" t="inlineStr">
        <is>
          <t>Preissová, Gabriela Sekerová, 1862-1946.</t>
        </is>
      </c>
      <c r="L391" t="inlineStr">
        <is>
          <t>V Praze, J. Otto, 1918.</t>
        </is>
      </c>
      <c r="M391" t="inlineStr">
        <is>
          <t>1918</t>
        </is>
      </c>
      <c r="O391" t="inlineStr">
        <is>
          <t>cze</t>
        </is>
      </c>
      <c r="P391" t="inlineStr">
        <is>
          <t xml:space="preserve">cs </t>
        </is>
      </c>
      <c r="R391" t="inlineStr">
        <is>
          <t xml:space="preserve">PG </t>
        </is>
      </c>
      <c r="S391" t="n">
        <v>2</v>
      </c>
      <c r="T391" t="n">
        <v>2</v>
      </c>
      <c r="U391" t="inlineStr">
        <is>
          <t>1999-02-03</t>
        </is>
      </c>
      <c r="V391" t="inlineStr">
        <is>
          <t>1999-02-03</t>
        </is>
      </c>
      <c r="W391" t="inlineStr">
        <is>
          <t>1997-03-19</t>
        </is>
      </c>
      <c r="X391" t="inlineStr">
        <is>
          <t>1997-03-19</t>
        </is>
      </c>
      <c r="Y391" t="n">
        <v>6</v>
      </c>
      <c r="Z391" t="n">
        <v>4</v>
      </c>
      <c r="AA391" t="n">
        <v>4</v>
      </c>
      <c r="AB391" t="n">
        <v>2</v>
      </c>
      <c r="AC391" t="n">
        <v>2</v>
      </c>
      <c r="AD391" t="n">
        <v>1</v>
      </c>
      <c r="AE391" t="n">
        <v>1</v>
      </c>
      <c r="AF391" t="n">
        <v>0</v>
      </c>
      <c r="AG391" t="n">
        <v>0</v>
      </c>
      <c r="AH391" t="n">
        <v>0</v>
      </c>
      <c r="AI391" t="n">
        <v>0</v>
      </c>
      <c r="AJ391" t="n">
        <v>0</v>
      </c>
      <c r="AK391" t="n">
        <v>0</v>
      </c>
      <c r="AL391" t="n">
        <v>1</v>
      </c>
      <c r="AM391" t="n">
        <v>1</v>
      </c>
      <c r="AN391" t="n">
        <v>0</v>
      </c>
      <c r="AO391" t="n">
        <v>0</v>
      </c>
      <c r="AP391" t="inlineStr">
        <is>
          <t>No</t>
        </is>
      </c>
      <c r="AQ391" t="inlineStr">
        <is>
          <t>No</t>
        </is>
      </c>
      <c r="AS391">
        <f>HYPERLINK("https://creighton-primo.hosted.exlibrisgroup.com/primo-explore/search?tab=default_tab&amp;search_scope=EVERYTHING&amp;vid=01CRU&amp;lang=en_US&amp;offset=0&amp;query=any,contains,991004495069702656","Catalog Record")</f>
        <v/>
      </c>
      <c r="AT391">
        <f>HYPERLINK("http://www.worldcat.org/oclc/3691259","WorldCat Record")</f>
        <v/>
      </c>
      <c r="AU391" t="inlineStr">
        <is>
          <t>3858017908:cze</t>
        </is>
      </c>
      <c r="AV391" t="inlineStr">
        <is>
          <t>3691259</t>
        </is>
      </c>
      <c r="AW391" t="inlineStr">
        <is>
          <t>991004495069702656</t>
        </is>
      </c>
      <c r="AX391" t="inlineStr">
        <is>
          <t>991004495069702656</t>
        </is>
      </c>
      <c r="AY391" t="inlineStr">
        <is>
          <t>2254814710002656</t>
        </is>
      </c>
      <c r="AZ391" t="inlineStr">
        <is>
          <t>BOOK</t>
        </is>
      </c>
      <c r="BC391" t="inlineStr">
        <is>
          <t>32285002470283</t>
        </is>
      </c>
      <c r="BD391" t="inlineStr">
        <is>
          <t>893337811</t>
        </is>
      </c>
    </row>
    <row r="392">
      <c r="A392" t="inlineStr">
        <is>
          <t>No</t>
        </is>
      </c>
      <c r="B392" t="inlineStr">
        <is>
          <t>PG5038.S527 P6813 1999</t>
        </is>
      </c>
      <c r="C392" t="inlineStr">
        <is>
          <t>0                      PG 5038000S  527                P  6813        1999</t>
        </is>
      </c>
      <c r="D392" t="inlineStr">
        <is>
          <t>The engineer of human souls / Josef Skvorecky ; translated from the Czech by Paul Wilson.</t>
        </is>
      </c>
      <c r="F392" t="inlineStr">
        <is>
          <t>No</t>
        </is>
      </c>
      <c r="G392" t="inlineStr">
        <is>
          <t>1</t>
        </is>
      </c>
      <c r="H392" t="inlineStr">
        <is>
          <t>No</t>
        </is>
      </c>
      <c r="I392" t="inlineStr">
        <is>
          <t>No</t>
        </is>
      </c>
      <c r="J392" t="inlineStr">
        <is>
          <t>0</t>
        </is>
      </c>
      <c r="K392" t="inlineStr">
        <is>
          <t>Škvorecký, Josef, 1924-2012.</t>
        </is>
      </c>
      <c r="L392" t="inlineStr">
        <is>
          <t>Normal, IL : Dalkey Archive Press, 1999.</t>
        </is>
      </c>
      <c r="M392" t="inlineStr">
        <is>
          <t>1999</t>
        </is>
      </c>
      <c r="N392" t="inlineStr">
        <is>
          <t>1st Dalkey Archive ed.</t>
        </is>
      </c>
      <c r="O392" t="inlineStr">
        <is>
          <t>eng</t>
        </is>
      </c>
      <c r="P392" t="inlineStr">
        <is>
          <t>ilu</t>
        </is>
      </c>
      <c r="R392" t="inlineStr">
        <is>
          <t xml:space="preserve">PG </t>
        </is>
      </c>
      <c r="S392" t="n">
        <v>1</v>
      </c>
      <c r="T392" t="n">
        <v>1</v>
      </c>
      <c r="U392" t="inlineStr">
        <is>
          <t>2005-04-04</t>
        </is>
      </c>
      <c r="V392" t="inlineStr">
        <is>
          <t>2005-04-04</t>
        </is>
      </c>
      <c r="W392" t="inlineStr">
        <is>
          <t>2005-04-04</t>
        </is>
      </c>
      <c r="X392" t="inlineStr">
        <is>
          <t>2005-04-04</t>
        </is>
      </c>
      <c r="Y392" t="n">
        <v>200</v>
      </c>
      <c r="Z392" t="n">
        <v>186</v>
      </c>
      <c r="AA392" t="n">
        <v>227</v>
      </c>
      <c r="AB392" t="n">
        <v>2</v>
      </c>
      <c r="AC392" t="n">
        <v>3</v>
      </c>
      <c r="AD392" t="n">
        <v>9</v>
      </c>
      <c r="AE392" t="n">
        <v>10</v>
      </c>
      <c r="AF392" t="n">
        <v>5</v>
      </c>
      <c r="AG392" t="n">
        <v>5</v>
      </c>
      <c r="AH392" t="n">
        <v>2</v>
      </c>
      <c r="AI392" t="n">
        <v>2</v>
      </c>
      <c r="AJ392" t="n">
        <v>3</v>
      </c>
      <c r="AK392" t="n">
        <v>3</v>
      </c>
      <c r="AL392" t="n">
        <v>1</v>
      </c>
      <c r="AM392" t="n">
        <v>2</v>
      </c>
      <c r="AN392" t="n">
        <v>0</v>
      </c>
      <c r="AO392" t="n">
        <v>0</v>
      </c>
      <c r="AP392" t="inlineStr">
        <is>
          <t>No</t>
        </is>
      </c>
      <c r="AQ392" t="inlineStr">
        <is>
          <t>No</t>
        </is>
      </c>
      <c r="AS392">
        <f>HYPERLINK("https://creighton-primo.hosted.exlibrisgroup.com/primo-explore/search?tab=default_tab&amp;search_scope=EVERYTHING&amp;vid=01CRU&amp;lang=en_US&amp;offset=0&amp;query=any,contains,991004505279702656","Catalog Record")</f>
        <v/>
      </c>
      <c r="AT392">
        <f>HYPERLINK("http://www.worldcat.org/oclc/39157638","WorldCat Record")</f>
        <v/>
      </c>
      <c r="AU392" t="inlineStr">
        <is>
          <t>4917427806:eng</t>
        </is>
      </c>
      <c r="AV392" t="inlineStr">
        <is>
          <t>39157638</t>
        </is>
      </c>
      <c r="AW392" t="inlineStr">
        <is>
          <t>991004505279702656</t>
        </is>
      </c>
      <c r="AX392" t="inlineStr">
        <is>
          <t>991004505279702656</t>
        </is>
      </c>
      <c r="AY392" t="inlineStr">
        <is>
          <t>2266065470002656</t>
        </is>
      </c>
      <c r="AZ392" t="inlineStr">
        <is>
          <t>BOOK</t>
        </is>
      </c>
      <c r="BB392" t="inlineStr">
        <is>
          <t>9781564781994</t>
        </is>
      </c>
      <c r="BC392" t="inlineStr">
        <is>
          <t>32285005047245</t>
        </is>
      </c>
      <c r="BD392" t="inlineStr">
        <is>
          <t>893343914</t>
        </is>
      </c>
    </row>
    <row r="393">
      <c r="A393" t="inlineStr">
        <is>
          <t>No</t>
        </is>
      </c>
      <c r="B393" t="inlineStr">
        <is>
          <t>PG5039.17.R87 D613 2000</t>
        </is>
      </c>
      <c r="C393" t="inlineStr">
        <is>
          <t>0                      PG 5039170R  87                 D  613         2000</t>
        </is>
      </c>
      <c r="D393" t="inlineStr">
        <is>
          <t>The questionnaire / Jiří Gruša ; preface by Josef Škvorecký.</t>
        </is>
      </c>
      <c r="F393" t="inlineStr">
        <is>
          <t>No</t>
        </is>
      </c>
      <c r="G393" t="inlineStr">
        <is>
          <t>1</t>
        </is>
      </c>
      <c r="H393" t="inlineStr">
        <is>
          <t>No</t>
        </is>
      </c>
      <c r="I393" t="inlineStr">
        <is>
          <t>No</t>
        </is>
      </c>
      <c r="J393" t="inlineStr">
        <is>
          <t>0</t>
        </is>
      </c>
      <c r="K393" t="inlineStr">
        <is>
          <t>Gruša, Jiří.</t>
        </is>
      </c>
      <c r="L393" t="inlineStr">
        <is>
          <t>Normal, IL : Dalkey Archive Press, 2000.</t>
        </is>
      </c>
      <c r="M393" t="inlineStr">
        <is>
          <t>2000</t>
        </is>
      </c>
      <c r="N393" t="inlineStr">
        <is>
          <t>1st Dalkey archive ed.</t>
        </is>
      </c>
      <c r="O393" t="inlineStr">
        <is>
          <t>eng</t>
        </is>
      </c>
      <c r="P393" t="inlineStr">
        <is>
          <t>ilu</t>
        </is>
      </c>
      <c r="Q393" t="inlineStr">
        <is>
          <t>Eastern European literature series</t>
        </is>
      </c>
      <c r="R393" t="inlineStr">
        <is>
          <t xml:space="preserve">PG </t>
        </is>
      </c>
      <c r="S393" t="n">
        <v>1</v>
      </c>
      <c r="T393" t="n">
        <v>1</v>
      </c>
      <c r="U393" t="inlineStr">
        <is>
          <t>2005-04-04</t>
        </is>
      </c>
      <c r="V393" t="inlineStr">
        <is>
          <t>2005-04-04</t>
        </is>
      </c>
      <c r="W393" t="inlineStr">
        <is>
          <t>2005-04-04</t>
        </is>
      </c>
      <c r="X393" t="inlineStr">
        <is>
          <t>2005-04-04</t>
        </is>
      </c>
      <c r="Y393" t="n">
        <v>192</v>
      </c>
      <c r="Z393" t="n">
        <v>182</v>
      </c>
      <c r="AA393" t="n">
        <v>185</v>
      </c>
      <c r="AB393" t="n">
        <v>2</v>
      </c>
      <c r="AC393" t="n">
        <v>2</v>
      </c>
      <c r="AD393" t="n">
        <v>12</v>
      </c>
      <c r="AE393" t="n">
        <v>12</v>
      </c>
      <c r="AF393" t="n">
        <v>5</v>
      </c>
      <c r="AG393" t="n">
        <v>5</v>
      </c>
      <c r="AH393" t="n">
        <v>3</v>
      </c>
      <c r="AI393" t="n">
        <v>3</v>
      </c>
      <c r="AJ393" t="n">
        <v>6</v>
      </c>
      <c r="AK393" t="n">
        <v>6</v>
      </c>
      <c r="AL393" t="n">
        <v>1</v>
      </c>
      <c r="AM393" t="n">
        <v>1</v>
      </c>
      <c r="AN393" t="n">
        <v>0</v>
      </c>
      <c r="AO393" t="n">
        <v>0</v>
      </c>
      <c r="AP393" t="inlineStr">
        <is>
          <t>No</t>
        </is>
      </c>
      <c r="AQ393" t="inlineStr">
        <is>
          <t>No</t>
        </is>
      </c>
      <c r="AS393">
        <f>HYPERLINK("https://creighton-primo.hosted.exlibrisgroup.com/primo-explore/search?tab=default_tab&amp;search_scope=EVERYTHING&amp;vid=01CRU&amp;lang=en_US&amp;offset=0&amp;query=any,contains,991004505229702656","Catalog Record")</f>
        <v/>
      </c>
      <c r="AT393">
        <f>HYPERLINK("http://www.worldcat.org/oclc/41488849","WorldCat Record")</f>
        <v/>
      </c>
      <c r="AU393" t="inlineStr">
        <is>
          <t>15141713:eng</t>
        </is>
      </c>
      <c r="AV393" t="inlineStr">
        <is>
          <t>41488849</t>
        </is>
      </c>
      <c r="AW393" t="inlineStr">
        <is>
          <t>991004505229702656</t>
        </is>
      </c>
      <c r="AX393" t="inlineStr">
        <is>
          <t>991004505229702656</t>
        </is>
      </c>
      <c r="AY393" t="inlineStr">
        <is>
          <t>2257689140002656</t>
        </is>
      </c>
      <c r="AZ393" t="inlineStr">
        <is>
          <t>BOOK</t>
        </is>
      </c>
      <c r="BB393" t="inlineStr">
        <is>
          <t>9781564782274</t>
        </is>
      </c>
      <c r="BC393" t="inlineStr">
        <is>
          <t>32285005046940</t>
        </is>
      </c>
      <c r="BD393" t="inlineStr">
        <is>
          <t>893417706</t>
        </is>
      </c>
    </row>
    <row r="394">
      <c r="A394" t="inlineStr">
        <is>
          <t>No</t>
        </is>
      </c>
      <c r="B394" t="inlineStr">
        <is>
          <t>PG5039.18 .R2</t>
        </is>
      </c>
      <c r="C394" t="inlineStr">
        <is>
          <t>0                      PG 5039180R  2</t>
        </is>
      </c>
      <c r="D394" t="inlineStr">
        <is>
          <t>Closely watched trains. Translated from the Czech by Edith Pargeter.</t>
        </is>
      </c>
      <c r="F394" t="inlineStr">
        <is>
          <t>No</t>
        </is>
      </c>
      <c r="G394" t="inlineStr">
        <is>
          <t>1</t>
        </is>
      </c>
      <c r="H394" t="inlineStr">
        <is>
          <t>No</t>
        </is>
      </c>
      <c r="I394" t="inlineStr">
        <is>
          <t>No</t>
        </is>
      </c>
      <c r="J394" t="inlineStr">
        <is>
          <t>0</t>
        </is>
      </c>
      <c r="K394" t="inlineStr">
        <is>
          <t>Hrabal, Bohumil, 1914-1997.</t>
        </is>
      </c>
      <c r="L394" t="inlineStr">
        <is>
          <t>New York, Grove Press [1968]</t>
        </is>
      </c>
      <c r="M394" t="inlineStr">
        <is>
          <t>1968</t>
        </is>
      </c>
      <c r="O394" t="inlineStr">
        <is>
          <t>eng</t>
        </is>
      </c>
      <c r="P394" t="inlineStr">
        <is>
          <t>nyu</t>
        </is>
      </c>
      <c r="Q394" t="inlineStr">
        <is>
          <t>An Evergreen black cat book</t>
        </is>
      </c>
      <c r="R394" t="inlineStr">
        <is>
          <t xml:space="preserve">PG </t>
        </is>
      </c>
      <c r="S394" t="n">
        <v>1</v>
      </c>
      <c r="T394" t="n">
        <v>1</v>
      </c>
      <c r="U394" t="inlineStr">
        <is>
          <t>1998-05-13</t>
        </is>
      </c>
      <c r="V394" t="inlineStr">
        <is>
          <t>1998-05-13</t>
        </is>
      </c>
      <c r="W394" t="inlineStr">
        <is>
          <t>1997-09-09</t>
        </is>
      </c>
      <c r="X394" t="inlineStr">
        <is>
          <t>1997-09-09</t>
        </is>
      </c>
      <c r="Y394" t="n">
        <v>292</v>
      </c>
      <c r="Z394" t="n">
        <v>274</v>
      </c>
      <c r="AA394" t="n">
        <v>687</v>
      </c>
      <c r="AB394" t="n">
        <v>4</v>
      </c>
      <c r="AC394" t="n">
        <v>4</v>
      </c>
      <c r="AD394" t="n">
        <v>12</v>
      </c>
      <c r="AE394" t="n">
        <v>31</v>
      </c>
      <c r="AF394" t="n">
        <v>2</v>
      </c>
      <c r="AG394" t="n">
        <v>12</v>
      </c>
      <c r="AH394" t="n">
        <v>3</v>
      </c>
      <c r="AI394" t="n">
        <v>7</v>
      </c>
      <c r="AJ394" t="n">
        <v>5</v>
      </c>
      <c r="AK394" t="n">
        <v>18</v>
      </c>
      <c r="AL394" t="n">
        <v>3</v>
      </c>
      <c r="AM394" t="n">
        <v>3</v>
      </c>
      <c r="AN394" t="n">
        <v>0</v>
      </c>
      <c r="AO394" t="n">
        <v>0</v>
      </c>
      <c r="AP394" t="inlineStr">
        <is>
          <t>No</t>
        </is>
      </c>
      <c r="AQ394" t="inlineStr">
        <is>
          <t>No</t>
        </is>
      </c>
      <c r="AS394">
        <f>HYPERLINK("https://creighton-primo.hosted.exlibrisgroup.com/primo-explore/search?tab=default_tab&amp;search_scope=EVERYTHING&amp;vid=01CRU&amp;lang=en_US&amp;offset=0&amp;query=any,contains,991003676829702656","Catalog Record")</f>
        <v/>
      </c>
      <c r="AT394">
        <f>HYPERLINK("http://www.worldcat.org/oclc/1298954","WorldCat Record")</f>
        <v/>
      </c>
      <c r="AU394" t="inlineStr">
        <is>
          <t>2908528232:eng</t>
        </is>
      </c>
      <c r="AV394" t="inlineStr">
        <is>
          <t>1298954</t>
        </is>
      </c>
      <c r="AW394" t="inlineStr">
        <is>
          <t>991003676829702656</t>
        </is>
      </c>
      <c r="AX394" t="inlineStr">
        <is>
          <t>991003676829702656</t>
        </is>
      </c>
      <c r="AY394" t="inlineStr">
        <is>
          <t>2263981470002656</t>
        </is>
      </c>
      <c r="AZ394" t="inlineStr">
        <is>
          <t>BOOK</t>
        </is>
      </c>
      <c r="BC394" t="inlineStr">
        <is>
          <t>32285003221438</t>
        </is>
      </c>
      <c r="BD394" t="inlineStr">
        <is>
          <t>893699277</t>
        </is>
      </c>
    </row>
    <row r="395">
      <c r="A395" t="inlineStr">
        <is>
          <t>No</t>
        </is>
      </c>
      <c r="B395" t="inlineStr">
        <is>
          <t>PG5039.18.A9 P613 1989</t>
        </is>
      </c>
      <c r="C395" t="inlineStr">
        <is>
          <t>0                      PG 5039180A  9                  P  613         1989</t>
        </is>
      </c>
      <c r="D395" t="inlineStr">
        <is>
          <t>Temptation : a play in ten scenes / Vaclav Havel ; translated from the Czech by Marie Winn.</t>
        </is>
      </c>
      <c r="F395" t="inlineStr">
        <is>
          <t>No</t>
        </is>
      </c>
      <c r="G395" t="inlineStr">
        <is>
          <t>1</t>
        </is>
      </c>
      <c r="H395" t="inlineStr">
        <is>
          <t>No</t>
        </is>
      </c>
      <c r="I395" t="inlineStr">
        <is>
          <t>No</t>
        </is>
      </c>
      <c r="J395" t="inlineStr">
        <is>
          <t>0</t>
        </is>
      </c>
      <c r="K395" t="inlineStr">
        <is>
          <t>Havel, Václav.</t>
        </is>
      </c>
      <c r="L395" t="inlineStr">
        <is>
          <t>New York : Grove Press, 1989.</t>
        </is>
      </c>
      <c r="M395" t="inlineStr">
        <is>
          <t>1989</t>
        </is>
      </c>
      <c r="N395" t="inlineStr">
        <is>
          <t>1st ed.</t>
        </is>
      </c>
      <c r="O395" t="inlineStr">
        <is>
          <t>eng</t>
        </is>
      </c>
      <c r="P395" t="inlineStr">
        <is>
          <t>nyu</t>
        </is>
      </c>
      <c r="R395" t="inlineStr">
        <is>
          <t xml:space="preserve">PG </t>
        </is>
      </c>
      <c r="S395" t="n">
        <v>6</v>
      </c>
      <c r="T395" t="n">
        <v>6</v>
      </c>
      <c r="U395" t="inlineStr">
        <is>
          <t>2002-03-24</t>
        </is>
      </c>
      <c r="V395" t="inlineStr">
        <is>
          <t>2002-03-24</t>
        </is>
      </c>
      <c r="W395" t="inlineStr">
        <is>
          <t>1990-08-10</t>
        </is>
      </c>
      <c r="X395" t="inlineStr">
        <is>
          <t>1990-08-10</t>
        </is>
      </c>
      <c r="Y395" t="n">
        <v>495</v>
      </c>
      <c r="Z395" t="n">
        <v>452</v>
      </c>
      <c r="AA395" t="n">
        <v>498</v>
      </c>
      <c r="AB395" t="n">
        <v>8</v>
      </c>
      <c r="AC395" t="n">
        <v>8</v>
      </c>
      <c r="AD395" t="n">
        <v>25</v>
      </c>
      <c r="AE395" t="n">
        <v>27</v>
      </c>
      <c r="AF395" t="n">
        <v>8</v>
      </c>
      <c r="AG395" t="n">
        <v>8</v>
      </c>
      <c r="AH395" t="n">
        <v>6</v>
      </c>
      <c r="AI395" t="n">
        <v>7</v>
      </c>
      <c r="AJ395" t="n">
        <v>12</v>
      </c>
      <c r="AK395" t="n">
        <v>14</v>
      </c>
      <c r="AL395" t="n">
        <v>5</v>
      </c>
      <c r="AM395" t="n">
        <v>5</v>
      </c>
      <c r="AN395" t="n">
        <v>0</v>
      </c>
      <c r="AO395" t="n">
        <v>0</v>
      </c>
      <c r="AP395" t="inlineStr">
        <is>
          <t>No</t>
        </is>
      </c>
      <c r="AQ395" t="inlineStr">
        <is>
          <t>Yes</t>
        </is>
      </c>
      <c r="AR395">
        <f>HYPERLINK("http://catalog.hathitrust.org/Record/002169267","HathiTrust Record")</f>
        <v/>
      </c>
      <c r="AS395">
        <f>HYPERLINK("https://creighton-primo.hosted.exlibrisgroup.com/primo-explore/search?tab=default_tab&amp;search_scope=EVERYTHING&amp;vid=01CRU&amp;lang=en_US&amp;offset=0&amp;query=any,contains,991001374409702656","Catalog Record")</f>
        <v/>
      </c>
      <c r="AT395">
        <f>HYPERLINK("http://www.worldcat.org/oclc/18589917","WorldCat Record")</f>
        <v/>
      </c>
      <c r="AU395" t="inlineStr">
        <is>
          <t>1151381391:eng</t>
        </is>
      </c>
      <c r="AV395" t="inlineStr">
        <is>
          <t>18589917</t>
        </is>
      </c>
      <c r="AW395" t="inlineStr">
        <is>
          <t>991001374409702656</t>
        </is>
      </c>
      <c r="AX395" t="inlineStr">
        <is>
          <t>991001374409702656</t>
        </is>
      </c>
      <c r="AY395" t="inlineStr">
        <is>
          <t>2264434070002656</t>
        </is>
      </c>
      <c r="AZ395" t="inlineStr">
        <is>
          <t>BOOK</t>
        </is>
      </c>
      <c r="BB395" t="inlineStr">
        <is>
          <t>9780802131003</t>
        </is>
      </c>
      <c r="BC395" t="inlineStr">
        <is>
          <t>32285000243062</t>
        </is>
      </c>
      <c r="BD395" t="inlineStr">
        <is>
          <t>893528910</t>
        </is>
      </c>
    </row>
    <row r="396">
      <c r="A396" t="inlineStr">
        <is>
          <t>No</t>
        </is>
      </c>
      <c r="B396" t="inlineStr">
        <is>
          <t>PG5039.18.A9 V913 1980</t>
        </is>
      </c>
      <c r="C396" t="inlineStr">
        <is>
          <t>0                      PG 5039180A  9                  V  913         1980</t>
        </is>
      </c>
      <c r="D396" t="inlineStr">
        <is>
          <t>The memorandum / Václav Havel ; translated from the Czech by Vera Blackwell ; introduction by Tom Stoppard.</t>
        </is>
      </c>
      <c r="F396" t="inlineStr">
        <is>
          <t>No</t>
        </is>
      </c>
      <c r="G396" t="inlineStr">
        <is>
          <t>1</t>
        </is>
      </c>
      <c r="H396" t="inlineStr">
        <is>
          <t>No</t>
        </is>
      </c>
      <c r="I396" t="inlineStr">
        <is>
          <t>No</t>
        </is>
      </c>
      <c r="J396" t="inlineStr">
        <is>
          <t>0</t>
        </is>
      </c>
      <c r="K396" t="inlineStr">
        <is>
          <t>Havel, Václav.</t>
        </is>
      </c>
      <c r="L396" t="inlineStr">
        <is>
          <t>New York : Grove Press : distributed by Random House, 1980, c1967.</t>
        </is>
      </c>
      <c r="M396" t="inlineStr">
        <is>
          <t>1980</t>
        </is>
      </c>
      <c r="N396" t="inlineStr">
        <is>
          <t>1st Evergreen ed.</t>
        </is>
      </c>
      <c r="O396" t="inlineStr">
        <is>
          <t>eng</t>
        </is>
      </c>
      <c r="P396" t="inlineStr">
        <is>
          <t>nyu</t>
        </is>
      </c>
      <c r="Q396" t="inlineStr">
        <is>
          <t>An Evergreen book</t>
        </is>
      </c>
      <c r="R396" t="inlineStr">
        <is>
          <t xml:space="preserve">PG </t>
        </is>
      </c>
      <c r="S396" t="n">
        <v>6</v>
      </c>
      <c r="T396" t="n">
        <v>6</v>
      </c>
      <c r="U396" t="inlineStr">
        <is>
          <t>2002-03-24</t>
        </is>
      </c>
      <c r="V396" t="inlineStr">
        <is>
          <t>2002-03-24</t>
        </is>
      </c>
      <c r="W396" t="inlineStr">
        <is>
          <t>1990-05-03</t>
        </is>
      </c>
      <c r="X396" t="inlineStr">
        <is>
          <t>1990-05-03</t>
        </is>
      </c>
      <c r="Y396" t="n">
        <v>303</v>
      </c>
      <c r="Z396" t="n">
        <v>270</v>
      </c>
      <c r="AA396" t="n">
        <v>592</v>
      </c>
      <c r="AB396" t="n">
        <v>1</v>
      </c>
      <c r="AC396" t="n">
        <v>4</v>
      </c>
      <c r="AD396" t="n">
        <v>13</v>
      </c>
      <c r="AE396" t="n">
        <v>30</v>
      </c>
      <c r="AF396" t="n">
        <v>6</v>
      </c>
      <c r="AG396" t="n">
        <v>12</v>
      </c>
      <c r="AH396" t="n">
        <v>4</v>
      </c>
      <c r="AI396" t="n">
        <v>7</v>
      </c>
      <c r="AJ396" t="n">
        <v>8</v>
      </c>
      <c r="AK396" t="n">
        <v>17</v>
      </c>
      <c r="AL396" t="n">
        <v>0</v>
      </c>
      <c r="AM396" t="n">
        <v>3</v>
      </c>
      <c r="AN396" t="n">
        <v>0</v>
      </c>
      <c r="AO396" t="n">
        <v>0</v>
      </c>
      <c r="AP396" t="inlineStr">
        <is>
          <t>No</t>
        </is>
      </c>
      <c r="AQ396" t="inlineStr">
        <is>
          <t>Yes</t>
        </is>
      </c>
      <c r="AR396">
        <f>HYPERLINK("http://catalog.hathitrust.org/Record/004509818","HathiTrust Record")</f>
        <v/>
      </c>
      <c r="AS396">
        <f>HYPERLINK("https://creighton-primo.hosted.exlibrisgroup.com/primo-explore/search?tab=default_tab&amp;search_scope=EVERYTHING&amp;vid=01CRU&amp;lang=en_US&amp;offset=0&amp;query=any,contains,991004903759702656","Catalog Record")</f>
        <v/>
      </c>
      <c r="AT396">
        <f>HYPERLINK("http://www.worldcat.org/oclc/5942748","WorldCat Record")</f>
        <v/>
      </c>
      <c r="AU396" t="inlineStr">
        <is>
          <t>1482109:eng</t>
        </is>
      </c>
      <c r="AV396" t="inlineStr">
        <is>
          <t>5942748</t>
        </is>
      </c>
      <c r="AW396" t="inlineStr">
        <is>
          <t>991004903759702656</t>
        </is>
      </c>
      <c r="AX396" t="inlineStr">
        <is>
          <t>991004903759702656</t>
        </is>
      </c>
      <c r="AY396" t="inlineStr">
        <is>
          <t>2270918920002656</t>
        </is>
      </c>
      <c r="AZ396" t="inlineStr">
        <is>
          <t>BOOK</t>
        </is>
      </c>
      <c r="BB396" t="inlineStr">
        <is>
          <t>9780394176536</t>
        </is>
      </c>
      <c r="BC396" t="inlineStr">
        <is>
          <t>32285000117670</t>
        </is>
      </c>
      <c r="BD396" t="inlineStr">
        <is>
          <t>893688332</t>
        </is>
      </c>
    </row>
    <row r="397">
      <c r="A397" t="inlineStr">
        <is>
          <t>No</t>
        </is>
      </c>
      <c r="B397" t="inlineStr">
        <is>
          <t>PG5039.18.A9 Z48413 1988</t>
        </is>
      </c>
      <c r="C397" t="inlineStr">
        <is>
          <t>0                      PG 5039180A  9                  Z  48413       1988</t>
        </is>
      </c>
      <c r="D397" t="inlineStr">
        <is>
          <t>Letters to Olga : June 1979-September 1982 / Václav Havel ; translated from the Czech with an introduction by Paul Wilson.</t>
        </is>
      </c>
      <c r="F397" t="inlineStr">
        <is>
          <t>No</t>
        </is>
      </c>
      <c r="G397" t="inlineStr">
        <is>
          <t>1</t>
        </is>
      </c>
      <c r="H397" t="inlineStr">
        <is>
          <t>No</t>
        </is>
      </c>
      <c r="I397" t="inlineStr">
        <is>
          <t>No</t>
        </is>
      </c>
      <c r="J397" t="inlineStr">
        <is>
          <t>0</t>
        </is>
      </c>
      <c r="K397" t="inlineStr">
        <is>
          <t>Havel, Václav.</t>
        </is>
      </c>
      <c r="L397" t="inlineStr">
        <is>
          <t>New York : Knopf, 1988.</t>
        </is>
      </c>
      <c r="M397" t="inlineStr">
        <is>
          <t>1988</t>
        </is>
      </c>
      <c r="N397" t="inlineStr">
        <is>
          <t>1st American ed.</t>
        </is>
      </c>
      <c r="O397" t="inlineStr">
        <is>
          <t>eng</t>
        </is>
      </c>
      <c r="P397" t="inlineStr">
        <is>
          <t>nyu</t>
        </is>
      </c>
      <c r="R397" t="inlineStr">
        <is>
          <t xml:space="preserve">PG </t>
        </is>
      </c>
      <c r="S397" t="n">
        <v>4</v>
      </c>
      <c r="T397" t="n">
        <v>4</v>
      </c>
      <c r="U397" t="inlineStr">
        <is>
          <t>2006-03-14</t>
        </is>
      </c>
      <c r="V397" t="inlineStr">
        <is>
          <t>2006-03-14</t>
        </is>
      </c>
      <c r="W397" t="inlineStr">
        <is>
          <t>1990-04-17</t>
        </is>
      </c>
      <c r="X397" t="inlineStr">
        <is>
          <t>1990-04-17</t>
        </is>
      </c>
      <c r="Y397" t="n">
        <v>396</v>
      </c>
      <c r="Z397" t="n">
        <v>358</v>
      </c>
      <c r="AA397" t="n">
        <v>384</v>
      </c>
      <c r="AB397" t="n">
        <v>4</v>
      </c>
      <c r="AC397" t="n">
        <v>4</v>
      </c>
      <c r="AD397" t="n">
        <v>17</v>
      </c>
      <c r="AE397" t="n">
        <v>18</v>
      </c>
      <c r="AF397" t="n">
        <v>7</v>
      </c>
      <c r="AG397" t="n">
        <v>8</v>
      </c>
      <c r="AH397" t="n">
        <v>5</v>
      </c>
      <c r="AI397" t="n">
        <v>5</v>
      </c>
      <c r="AJ397" t="n">
        <v>7</v>
      </c>
      <c r="AK397" t="n">
        <v>7</v>
      </c>
      <c r="AL397" t="n">
        <v>3</v>
      </c>
      <c r="AM397" t="n">
        <v>3</v>
      </c>
      <c r="AN397" t="n">
        <v>0</v>
      </c>
      <c r="AO397" t="n">
        <v>0</v>
      </c>
      <c r="AP397" t="inlineStr">
        <is>
          <t>No</t>
        </is>
      </c>
      <c r="AQ397" t="inlineStr">
        <is>
          <t>Yes</t>
        </is>
      </c>
      <c r="AR397">
        <f>HYPERLINK("http://catalog.hathitrust.org/Record/000901033","HathiTrust Record")</f>
        <v/>
      </c>
      <c r="AS397">
        <f>HYPERLINK("https://creighton-primo.hosted.exlibrisgroup.com/primo-explore/search?tab=default_tab&amp;search_scope=EVERYTHING&amp;vid=01CRU&amp;lang=en_US&amp;offset=0&amp;query=any,contains,991001075099702656","Catalog Record")</f>
        <v/>
      </c>
      <c r="AT397">
        <f>HYPERLINK("http://www.worldcat.org/oclc/16005605","WorldCat Record")</f>
        <v/>
      </c>
      <c r="AU397" t="inlineStr">
        <is>
          <t>8907052802:eng</t>
        </is>
      </c>
      <c r="AV397" t="inlineStr">
        <is>
          <t>16005605</t>
        </is>
      </c>
      <c r="AW397" t="inlineStr">
        <is>
          <t>991001075099702656</t>
        </is>
      </c>
      <c r="AX397" t="inlineStr">
        <is>
          <t>991001075099702656</t>
        </is>
      </c>
      <c r="AY397" t="inlineStr">
        <is>
          <t>2262754440002656</t>
        </is>
      </c>
      <c r="AZ397" t="inlineStr">
        <is>
          <t>BOOK</t>
        </is>
      </c>
      <c r="BB397" t="inlineStr">
        <is>
          <t>9780394547954</t>
        </is>
      </c>
      <c r="BC397" t="inlineStr">
        <is>
          <t>32285000102680</t>
        </is>
      </c>
      <c r="BD397" t="inlineStr">
        <is>
          <t>893255986</t>
        </is>
      </c>
    </row>
    <row r="398">
      <c r="A398" t="inlineStr">
        <is>
          <t>No</t>
        </is>
      </c>
      <c r="B398" t="inlineStr">
        <is>
          <t>PG5039.21.L5 M47 1985</t>
        </is>
      </c>
      <c r="C398" t="inlineStr">
        <is>
          <t>0                      PG 5039210L  5                  M  47          1985</t>
        </is>
      </c>
      <c r="D398" t="inlineStr">
        <is>
          <t>My merry mornings : stories from Prague / by Ivan Klíma ; translated by George Theiner ; [illustrations by Jan Brychta]</t>
        </is>
      </c>
      <c r="F398" t="inlineStr">
        <is>
          <t>No</t>
        </is>
      </c>
      <c r="G398" t="inlineStr">
        <is>
          <t>1</t>
        </is>
      </c>
      <c r="H398" t="inlineStr">
        <is>
          <t>No</t>
        </is>
      </c>
      <c r="I398" t="inlineStr">
        <is>
          <t>No</t>
        </is>
      </c>
      <c r="J398" t="inlineStr">
        <is>
          <t>0</t>
        </is>
      </c>
      <c r="K398" t="inlineStr">
        <is>
          <t>Klíma, Ivan.</t>
        </is>
      </c>
      <c r="L398" t="inlineStr">
        <is>
          <t>London, Eng. ; New York : Readers International, c1985.</t>
        </is>
      </c>
      <c r="M398" t="inlineStr">
        <is>
          <t>1985</t>
        </is>
      </c>
      <c r="O398" t="inlineStr">
        <is>
          <t>eng</t>
        </is>
      </c>
      <c r="P398" t="inlineStr">
        <is>
          <t>enk</t>
        </is>
      </c>
      <c r="R398" t="inlineStr">
        <is>
          <t xml:space="preserve">PG </t>
        </is>
      </c>
      <c r="S398" t="n">
        <v>3</v>
      </c>
      <c r="T398" t="n">
        <v>3</v>
      </c>
      <c r="U398" t="inlineStr">
        <is>
          <t>1996-02-14</t>
        </is>
      </c>
      <c r="V398" t="inlineStr">
        <is>
          <t>1996-02-14</t>
        </is>
      </c>
      <c r="W398" t="inlineStr">
        <is>
          <t>1993-04-28</t>
        </is>
      </c>
      <c r="X398" t="inlineStr">
        <is>
          <t>1993-04-28</t>
        </is>
      </c>
      <c r="Y398" t="n">
        <v>394</v>
      </c>
      <c r="Z398" t="n">
        <v>327</v>
      </c>
      <c r="AA398" t="n">
        <v>338</v>
      </c>
      <c r="AB398" t="n">
        <v>3</v>
      </c>
      <c r="AC398" t="n">
        <v>3</v>
      </c>
      <c r="AD398" t="n">
        <v>14</v>
      </c>
      <c r="AE398" t="n">
        <v>14</v>
      </c>
      <c r="AF398" t="n">
        <v>4</v>
      </c>
      <c r="AG398" t="n">
        <v>4</v>
      </c>
      <c r="AH398" t="n">
        <v>4</v>
      </c>
      <c r="AI398" t="n">
        <v>4</v>
      </c>
      <c r="AJ398" t="n">
        <v>7</v>
      </c>
      <c r="AK398" t="n">
        <v>7</v>
      </c>
      <c r="AL398" t="n">
        <v>2</v>
      </c>
      <c r="AM398" t="n">
        <v>2</v>
      </c>
      <c r="AN398" t="n">
        <v>1</v>
      </c>
      <c r="AO398" t="n">
        <v>1</v>
      </c>
      <c r="AP398" t="inlineStr">
        <is>
          <t>No</t>
        </is>
      </c>
      <c r="AQ398" t="inlineStr">
        <is>
          <t>Yes</t>
        </is>
      </c>
      <c r="AR398">
        <f>HYPERLINK("http://catalog.hathitrust.org/Record/000580397","HathiTrust Record")</f>
        <v/>
      </c>
      <c r="AS398">
        <f>HYPERLINK("https://creighton-primo.hosted.exlibrisgroup.com/primo-explore/search?tab=default_tab&amp;search_scope=EVERYTHING&amp;vid=01CRU&amp;lang=en_US&amp;offset=0&amp;query=any,contains,991000645019702656","Catalog Record")</f>
        <v/>
      </c>
      <c r="AT398">
        <f>HYPERLINK("http://www.worldcat.org/oclc/12122244","WorldCat Record")</f>
        <v/>
      </c>
      <c r="AU398" t="inlineStr">
        <is>
          <t>5020755:eng</t>
        </is>
      </c>
      <c r="AV398" t="inlineStr">
        <is>
          <t>12122244</t>
        </is>
      </c>
      <c r="AW398" t="inlineStr">
        <is>
          <t>991000645019702656</t>
        </is>
      </c>
      <c r="AX398" t="inlineStr">
        <is>
          <t>991000645019702656</t>
        </is>
      </c>
      <c r="AY398" t="inlineStr">
        <is>
          <t>2256424600002656</t>
        </is>
      </c>
      <c r="AZ398" t="inlineStr">
        <is>
          <t>BOOK</t>
        </is>
      </c>
      <c r="BB398" t="inlineStr">
        <is>
          <t>9780930523046</t>
        </is>
      </c>
      <c r="BC398" t="inlineStr">
        <is>
          <t>32285001649861</t>
        </is>
      </c>
      <c r="BD398" t="inlineStr">
        <is>
          <t>893884603</t>
        </is>
      </c>
    </row>
    <row r="399">
      <c r="A399" t="inlineStr">
        <is>
          <t>No</t>
        </is>
      </c>
      <c r="B399" t="inlineStr">
        <is>
          <t>PG5039.21.U6 J313 1985</t>
        </is>
      </c>
      <c r="C399" t="inlineStr">
        <is>
          <t>0                      PG 5039210U  6                  J  313         1985</t>
        </is>
      </c>
      <c r="D399" t="inlineStr">
        <is>
          <t>Jacques and his master : an hommage to Diderot in three acts / Milan Kundera ; translated from the French by Michael Henry Heim.</t>
        </is>
      </c>
      <c r="F399" t="inlineStr">
        <is>
          <t>No</t>
        </is>
      </c>
      <c r="G399" t="inlineStr">
        <is>
          <t>1</t>
        </is>
      </c>
      <c r="H399" t="inlineStr">
        <is>
          <t>No</t>
        </is>
      </c>
      <c r="I399" t="inlineStr">
        <is>
          <t>No</t>
        </is>
      </c>
      <c r="J399" t="inlineStr">
        <is>
          <t>0</t>
        </is>
      </c>
      <c r="K399" t="inlineStr">
        <is>
          <t>Kundera, Milan.</t>
        </is>
      </c>
      <c r="L399" t="inlineStr">
        <is>
          <t>New York : Harper &amp; Row, c1985.</t>
        </is>
      </c>
      <c r="M399" t="inlineStr">
        <is>
          <t>1985</t>
        </is>
      </c>
      <c r="O399" t="inlineStr">
        <is>
          <t>eng</t>
        </is>
      </c>
      <c r="P399" t="inlineStr">
        <is>
          <t>nyu</t>
        </is>
      </c>
      <c r="R399" t="inlineStr">
        <is>
          <t xml:space="preserve">PG </t>
        </is>
      </c>
      <c r="S399" t="n">
        <v>3</v>
      </c>
      <c r="T399" t="n">
        <v>3</v>
      </c>
      <c r="U399" t="inlineStr">
        <is>
          <t>2003-06-08</t>
        </is>
      </c>
      <c r="V399" t="inlineStr">
        <is>
          <t>2003-06-08</t>
        </is>
      </c>
      <c r="W399" t="inlineStr">
        <is>
          <t>1992-10-29</t>
        </is>
      </c>
      <c r="X399" t="inlineStr">
        <is>
          <t>1992-10-29</t>
        </is>
      </c>
      <c r="Y399" t="n">
        <v>468</v>
      </c>
      <c r="Z399" t="n">
        <v>411</v>
      </c>
      <c r="AA399" t="n">
        <v>425</v>
      </c>
      <c r="AB399" t="n">
        <v>3</v>
      </c>
      <c r="AC399" t="n">
        <v>3</v>
      </c>
      <c r="AD399" t="n">
        <v>18</v>
      </c>
      <c r="AE399" t="n">
        <v>18</v>
      </c>
      <c r="AF399" t="n">
        <v>4</v>
      </c>
      <c r="AG399" t="n">
        <v>4</v>
      </c>
      <c r="AH399" t="n">
        <v>5</v>
      </c>
      <c r="AI399" t="n">
        <v>5</v>
      </c>
      <c r="AJ399" t="n">
        <v>10</v>
      </c>
      <c r="AK399" t="n">
        <v>10</v>
      </c>
      <c r="AL399" t="n">
        <v>2</v>
      </c>
      <c r="AM399" t="n">
        <v>2</v>
      </c>
      <c r="AN399" t="n">
        <v>0</v>
      </c>
      <c r="AO399" t="n">
        <v>0</v>
      </c>
      <c r="AP399" t="inlineStr">
        <is>
          <t>No</t>
        </is>
      </c>
      <c r="AQ399" t="inlineStr">
        <is>
          <t>No</t>
        </is>
      </c>
      <c r="AS399">
        <f>HYPERLINK("https://creighton-primo.hosted.exlibrisgroup.com/primo-explore/search?tab=default_tab&amp;search_scope=EVERYTHING&amp;vid=01CRU&amp;lang=en_US&amp;offset=0&amp;query=any,contains,991000529629702656","Catalog Record")</f>
        <v/>
      </c>
      <c r="AT399">
        <f>HYPERLINK("http://www.worldcat.org/oclc/11397219","WorldCat Record")</f>
        <v/>
      </c>
      <c r="AU399" t="inlineStr">
        <is>
          <t>2564787891:eng</t>
        </is>
      </c>
      <c r="AV399" t="inlineStr">
        <is>
          <t>11397219</t>
        </is>
      </c>
      <c r="AW399" t="inlineStr">
        <is>
          <t>991000529629702656</t>
        </is>
      </c>
      <c r="AX399" t="inlineStr">
        <is>
          <t>991000529629702656</t>
        </is>
      </c>
      <c r="AY399" t="inlineStr">
        <is>
          <t>2267526850002656</t>
        </is>
      </c>
      <c r="AZ399" t="inlineStr">
        <is>
          <t>BOOK</t>
        </is>
      </c>
      <c r="BB399" t="inlineStr">
        <is>
          <t>9780060912222</t>
        </is>
      </c>
      <c r="BC399" t="inlineStr">
        <is>
          <t>32285001387694</t>
        </is>
      </c>
      <c r="BD399" t="inlineStr">
        <is>
          <t>893601827</t>
        </is>
      </c>
    </row>
    <row r="400">
      <c r="A400" t="inlineStr">
        <is>
          <t>No</t>
        </is>
      </c>
      <c r="B400" t="inlineStr">
        <is>
          <t>PG5039.32.A2 Z4684 1987</t>
        </is>
      </c>
      <c r="C400" t="inlineStr">
        <is>
          <t>0                      PG 5039320A  2                  Z  4684        1987</t>
        </is>
      </c>
      <c r="D400" t="inlineStr">
        <is>
          <t>A cup of coffee with my interrogator : the Prague chronicles of Ludvík Vaculík / introduction by Václav Havel ; translated [from the Czech] by George Theiner.</t>
        </is>
      </c>
      <c r="F400" t="inlineStr">
        <is>
          <t>No</t>
        </is>
      </c>
      <c r="G400" t="inlineStr">
        <is>
          <t>1</t>
        </is>
      </c>
      <c r="H400" t="inlineStr">
        <is>
          <t>No</t>
        </is>
      </c>
      <c r="I400" t="inlineStr">
        <is>
          <t>No</t>
        </is>
      </c>
      <c r="J400" t="inlineStr">
        <is>
          <t>0</t>
        </is>
      </c>
      <c r="K400" t="inlineStr">
        <is>
          <t>Vaculík, Ludvík.</t>
        </is>
      </c>
      <c r="L400" t="inlineStr">
        <is>
          <t>London : Readers International, c1987.</t>
        </is>
      </c>
      <c r="M400" t="inlineStr">
        <is>
          <t>1987</t>
        </is>
      </c>
      <c r="O400" t="inlineStr">
        <is>
          <t>eng</t>
        </is>
      </c>
      <c r="P400" t="inlineStr">
        <is>
          <t>enk</t>
        </is>
      </c>
      <c r="R400" t="inlineStr">
        <is>
          <t xml:space="preserve">PG </t>
        </is>
      </c>
      <c r="S400" t="n">
        <v>1</v>
      </c>
      <c r="T400" t="n">
        <v>1</v>
      </c>
      <c r="U400" t="inlineStr">
        <is>
          <t>1998-05-13</t>
        </is>
      </c>
      <c r="V400" t="inlineStr">
        <is>
          <t>1998-05-13</t>
        </is>
      </c>
      <c r="W400" t="inlineStr">
        <is>
          <t>1996-12-18</t>
        </is>
      </c>
      <c r="X400" t="inlineStr">
        <is>
          <t>1996-12-18</t>
        </is>
      </c>
      <c r="Y400" t="n">
        <v>372</v>
      </c>
      <c r="Z400" t="n">
        <v>303</v>
      </c>
      <c r="AA400" t="n">
        <v>306</v>
      </c>
      <c r="AB400" t="n">
        <v>3</v>
      </c>
      <c r="AC400" t="n">
        <v>3</v>
      </c>
      <c r="AD400" t="n">
        <v>9</v>
      </c>
      <c r="AE400" t="n">
        <v>9</v>
      </c>
      <c r="AF400" t="n">
        <v>3</v>
      </c>
      <c r="AG400" t="n">
        <v>3</v>
      </c>
      <c r="AH400" t="n">
        <v>5</v>
      </c>
      <c r="AI400" t="n">
        <v>5</v>
      </c>
      <c r="AJ400" t="n">
        <v>4</v>
      </c>
      <c r="AK400" t="n">
        <v>4</v>
      </c>
      <c r="AL400" t="n">
        <v>2</v>
      </c>
      <c r="AM400" t="n">
        <v>2</v>
      </c>
      <c r="AN400" t="n">
        <v>0</v>
      </c>
      <c r="AO400" t="n">
        <v>0</v>
      </c>
      <c r="AP400" t="inlineStr">
        <is>
          <t>No</t>
        </is>
      </c>
      <c r="AQ400" t="inlineStr">
        <is>
          <t>Yes</t>
        </is>
      </c>
      <c r="AR400">
        <f>HYPERLINK("http://catalog.hathitrust.org/Record/007105666","HathiTrust Record")</f>
        <v/>
      </c>
      <c r="AS400">
        <f>HYPERLINK("https://creighton-primo.hosted.exlibrisgroup.com/primo-explore/search?tab=default_tab&amp;search_scope=EVERYTHING&amp;vid=01CRU&amp;lang=en_US&amp;offset=0&amp;query=any,contains,991001147439702656","Catalog Record")</f>
        <v/>
      </c>
      <c r="AT400">
        <f>HYPERLINK("http://www.worldcat.org/oclc/16794170","WorldCat Record")</f>
        <v/>
      </c>
      <c r="AU400" t="inlineStr">
        <is>
          <t>14004893:eng</t>
        </is>
      </c>
      <c r="AV400" t="inlineStr">
        <is>
          <t>16794170</t>
        </is>
      </c>
      <c r="AW400" t="inlineStr">
        <is>
          <t>991001147439702656</t>
        </is>
      </c>
      <c r="AX400" t="inlineStr">
        <is>
          <t>991001147439702656</t>
        </is>
      </c>
      <c r="AY400" t="inlineStr">
        <is>
          <t>2266660250002656</t>
        </is>
      </c>
      <c r="AZ400" t="inlineStr">
        <is>
          <t>BOOK</t>
        </is>
      </c>
      <c r="BB400" t="inlineStr">
        <is>
          <t>9780930523343</t>
        </is>
      </c>
      <c r="BC400" t="inlineStr">
        <is>
          <t>32285002400082</t>
        </is>
      </c>
      <c r="BD400" t="inlineStr">
        <is>
          <t>893702777</t>
        </is>
      </c>
    </row>
    <row r="401">
      <c r="A401" t="inlineStr">
        <is>
          <t>No</t>
        </is>
      </c>
      <c r="B401" t="inlineStr">
        <is>
          <t>PG5145.E3 K6</t>
        </is>
      </c>
      <c r="C401" t="inlineStr">
        <is>
          <t>0                      PG 5145000E  3                  K  6</t>
        </is>
      </c>
      <c r="D401" t="inlineStr">
        <is>
          <t>Songs of the Slav, translations from the Czecho-Slovak [by] Otto Kotouč.</t>
        </is>
      </c>
      <c r="F401" t="inlineStr">
        <is>
          <t>No</t>
        </is>
      </c>
      <c r="G401" t="inlineStr">
        <is>
          <t>1</t>
        </is>
      </c>
      <c r="H401" t="inlineStr">
        <is>
          <t>No</t>
        </is>
      </c>
      <c r="I401" t="inlineStr">
        <is>
          <t>No</t>
        </is>
      </c>
      <c r="J401" t="inlineStr">
        <is>
          <t>0</t>
        </is>
      </c>
      <c r="K401" t="inlineStr">
        <is>
          <t>Kotouč, Otto, translator.</t>
        </is>
      </c>
      <c r="L401" t="inlineStr">
        <is>
          <t>Boston, The Poet Lore Company [c1919]</t>
        </is>
      </c>
      <c r="M401" t="inlineStr">
        <is>
          <t>1919</t>
        </is>
      </c>
      <c r="O401" t="inlineStr">
        <is>
          <t>eng</t>
        </is>
      </c>
      <c r="P401" t="inlineStr">
        <is>
          <t>mau</t>
        </is>
      </c>
      <c r="R401" t="inlineStr">
        <is>
          <t xml:space="preserve">PG </t>
        </is>
      </c>
      <c r="S401" t="n">
        <v>0</v>
      </c>
      <c r="T401" t="n">
        <v>0</v>
      </c>
      <c r="U401" t="inlineStr">
        <is>
          <t>2009-02-11</t>
        </is>
      </c>
      <c r="V401" t="inlineStr">
        <is>
          <t>2009-02-11</t>
        </is>
      </c>
      <c r="W401" t="inlineStr">
        <is>
          <t>1997-09-09</t>
        </is>
      </c>
      <c r="X401" t="inlineStr">
        <is>
          <t>1997-09-09</t>
        </is>
      </c>
      <c r="Y401" t="n">
        <v>40</v>
      </c>
      <c r="Z401" t="n">
        <v>35</v>
      </c>
      <c r="AA401" t="n">
        <v>51</v>
      </c>
      <c r="AB401" t="n">
        <v>3</v>
      </c>
      <c r="AC401" t="n">
        <v>3</v>
      </c>
      <c r="AD401" t="n">
        <v>2</v>
      </c>
      <c r="AE401" t="n">
        <v>3</v>
      </c>
      <c r="AF401" t="n">
        <v>0</v>
      </c>
      <c r="AG401" t="n">
        <v>0</v>
      </c>
      <c r="AH401" t="n">
        <v>0</v>
      </c>
      <c r="AI401" t="n">
        <v>1</v>
      </c>
      <c r="AJ401" t="n">
        <v>1</v>
      </c>
      <c r="AK401" t="n">
        <v>1</v>
      </c>
      <c r="AL401" t="n">
        <v>1</v>
      </c>
      <c r="AM401" t="n">
        <v>1</v>
      </c>
      <c r="AN401" t="n">
        <v>0</v>
      </c>
      <c r="AO401" t="n">
        <v>0</v>
      </c>
      <c r="AP401" t="inlineStr">
        <is>
          <t>Yes</t>
        </is>
      </c>
      <c r="AQ401" t="inlineStr">
        <is>
          <t>No</t>
        </is>
      </c>
      <c r="AR401">
        <f>HYPERLINK("http://catalog.hathitrust.org/Record/008988050","HathiTrust Record")</f>
        <v/>
      </c>
      <c r="AS401">
        <f>HYPERLINK("https://creighton-primo.hosted.exlibrisgroup.com/primo-explore/search?tab=default_tab&amp;search_scope=EVERYTHING&amp;vid=01CRU&amp;lang=en_US&amp;offset=0&amp;query=any,contains,991003781879702656","Catalog Record")</f>
        <v/>
      </c>
      <c r="AT401">
        <f>HYPERLINK("http://www.worldcat.org/oclc/1495854","WorldCat Record")</f>
        <v/>
      </c>
      <c r="AU401" t="inlineStr">
        <is>
          <t>2422838:eng</t>
        </is>
      </c>
      <c r="AV401" t="inlineStr">
        <is>
          <t>1495854</t>
        </is>
      </c>
      <c r="AW401" t="inlineStr">
        <is>
          <t>991003781879702656</t>
        </is>
      </c>
      <c r="AX401" t="inlineStr">
        <is>
          <t>991003781879702656</t>
        </is>
      </c>
      <c r="AY401" t="inlineStr">
        <is>
          <t>2270509490002656</t>
        </is>
      </c>
      <c r="AZ401" t="inlineStr">
        <is>
          <t>BOOK</t>
        </is>
      </c>
      <c r="BC401" t="inlineStr">
        <is>
          <t>32285003221461</t>
        </is>
      </c>
      <c r="BD401" t="inlineStr">
        <is>
          <t>893353034</t>
        </is>
      </c>
    </row>
    <row r="402">
      <c r="A402" t="inlineStr">
        <is>
          <t>No</t>
        </is>
      </c>
      <c r="B402" t="inlineStr">
        <is>
          <t>PG5145.E8 N4</t>
        </is>
      </c>
      <c r="C402" t="inlineStr">
        <is>
          <t>0                      PG 5145000E  8                  N  4</t>
        </is>
      </c>
      <c r="D402" t="inlineStr">
        <is>
          <t>Czech and Slovak short stories; selected, translated, and with an introduction by Jeanne W. Nemcová.</t>
        </is>
      </c>
      <c r="F402" t="inlineStr">
        <is>
          <t>No</t>
        </is>
      </c>
      <c r="G402" t="inlineStr">
        <is>
          <t>1</t>
        </is>
      </c>
      <c r="H402" t="inlineStr">
        <is>
          <t>No</t>
        </is>
      </c>
      <c r="I402" t="inlineStr">
        <is>
          <t>No</t>
        </is>
      </c>
      <c r="J402" t="inlineStr">
        <is>
          <t>0</t>
        </is>
      </c>
      <c r="K402" t="inlineStr">
        <is>
          <t>Němcová, Jeanne W.</t>
        </is>
      </c>
      <c r="L402" t="inlineStr">
        <is>
          <t>London, New York [etc.] Oxford U. P., 1967.</t>
        </is>
      </c>
      <c r="M402" t="inlineStr">
        <is>
          <t>1967</t>
        </is>
      </c>
      <c r="O402" t="inlineStr">
        <is>
          <t>eng</t>
        </is>
      </c>
      <c r="P402" t="inlineStr">
        <is>
          <t xml:space="preserve">xx </t>
        </is>
      </c>
      <c r="Q402" t="inlineStr">
        <is>
          <t>The World's classics, 612</t>
        </is>
      </c>
      <c r="R402" t="inlineStr">
        <is>
          <t xml:space="preserve">PG </t>
        </is>
      </c>
      <c r="S402" t="n">
        <v>3</v>
      </c>
      <c r="T402" t="n">
        <v>3</v>
      </c>
      <c r="U402" t="inlineStr">
        <is>
          <t>1998-09-16</t>
        </is>
      </c>
      <c r="V402" t="inlineStr">
        <is>
          <t>1998-09-16</t>
        </is>
      </c>
      <c r="W402" t="inlineStr">
        <is>
          <t>1997-09-09</t>
        </is>
      </c>
      <c r="X402" t="inlineStr">
        <is>
          <t>1997-09-09</t>
        </is>
      </c>
      <c r="Y402" t="n">
        <v>451</v>
      </c>
      <c r="Z402" t="n">
        <v>413</v>
      </c>
      <c r="AA402" t="n">
        <v>416</v>
      </c>
      <c r="AB402" t="n">
        <v>4</v>
      </c>
      <c r="AC402" t="n">
        <v>4</v>
      </c>
      <c r="AD402" t="n">
        <v>16</v>
      </c>
      <c r="AE402" t="n">
        <v>16</v>
      </c>
      <c r="AF402" t="n">
        <v>6</v>
      </c>
      <c r="AG402" t="n">
        <v>6</v>
      </c>
      <c r="AH402" t="n">
        <v>2</v>
      </c>
      <c r="AI402" t="n">
        <v>2</v>
      </c>
      <c r="AJ402" t="n">
        <v>8</v>
      </c>
      <c r="AK402" t="n">
        <v>8</v>
      </c>
      <c r="AL402" t="n">
        <v>2</v>
      </c>
      <c r="AM402" t="n">
        <v>2</v>
      </c>
      <c r="AN402" t="n">
        <v>0</v>
      </c>
      <c r="AO402" t="n">
        <v>0</v>
      </c>
      <c r="AP402" t="inlineStr">
        <is>
          <t>No</t>
        </is>
      </c>
      <c r="AQ402" t="inlineStr">
        <is>
          <t>Yes</t>
        </is>
      </c>
      <c r="AR402">
        <f>HYPERLINK("http://catalog.hathitrust.org/Record/001231240","HathiTrust Record")</f>
        <v/>
      </c>
      <c r="AS402">
        <f>HYPERLINK("https://creighton-primo.hosted.exlibrisgroup.com/primo-explore/search?tab=default_tab&amp;search_scope=EVERYTHING&amp;vid=01CRU&amp;lang=en_US&amp;offset=0&amp;query=any,contains,991004169109702656","Catalog Record")</f>
        <v/>
      </c>
      <c r="AT402">
        <f>HYPERLINK("http://www.worldcat.org/oclc/2576068","WorldCat Record")</f>
        <v/>
      </c>
      <c r="AU402" t="inlineStr">
        <is>
          <t>5611765682:eng</t>
        </is>
      </c>
      <c r="AV402" t="inlineStr">
        <is>
          <t>2576068</t>
        </is>
      </c>
      <c r="AW402" t="inlineStr">
        <is>
          <t>991004169109702656</t>
        </is>
      </c>
      <c r="AX402" t="inlineStr">
        <is>
          <t>991004169109702656</t>
        </is>
      </c>
      <c r="AY402" t="inlineStr">
        <is>
          <t>2255275760002656</t>
        </is>
      </c>
      <c r="AZ402" t="inlineStr">
        <is>
          <t>BOOK</t>
        </is>
      </c>
      <c r="BC402" t="inlineStr">
        <is>
          <t>32285003221479</t>
        </is>
      </c>
      <c r="BD402" t="inlineStr">
        <is>
          <t>893618336</t>
        </is>
      </c>
    </row>
    <row r="403">
      <c r="A403" t="inlineStr">
        <is>
          <t>No</t>
        </is>
      </c>
      <c r="B403" t="inlineStr">
        <is>
          <t>PG5439.29.I37 Z313 1993</t>
        </is>
      </c>
      <c r="C403" t="inlineStr">
        <is>
          <t>0                      PG 5439290I  37                 Z  313         1993</t>
        </is>
      </c>
      <c r="D403" t="inlineStr">
        <is>
          <t>The year of the frog : a novel / by Martin M. Šimečka ; translated by Peter Petro ; foreword by Václav Havel.</t>
        </is>
      </c>
      <c r="F403" t="inlineStr">
        <is>
          <t>No</t>
        </is>
      </c>
      <c r="G403" t="inlineStr">
        <is>
          <t>1</t>
        </is>
      </c>
      <c r="H403" t="inlineStr">
        <is>
          <t>No</t>
        </is>
      </c>
      <c r="I403" t="inlineStr">
        <is>
          <t>No</t>
        </is>
      </c>
      <c r="J403" t="inlineStr">
        <is>
          <t>0</t>
        </is>
      </c>
      <c r="K403" t="inlineStr">
        <is>
          <t>Šimečka, Martin M., 1957-</t>
        </is>
      </c>
      <c r="L403" t="inlineStr">
        <is>
          <t>Baton Rouge : Louisiana State University Press, 1993.</t>
        </is>
      </c>
      <c r="M403" t="inlineStr">
        <is>
          <t>1993</t>
        </is>
      </c>
      <c r="O403" t="inlineStr">
        <is>
          <t>eng</t>
        </is>
      </c>
      <c r="P403" t="inlineStr">
        <is>
          <t>lau</t>
        </is>
      </c>
      <c r="Q403" t="inlineStr">
        <is>
          <t>Pegasus Prize for Literature</t>
        </is>
      </c>
      <c r="R403" t="inlineStr">
        <is>
          <t xml:space="preserve">PG </t>
        </is>
      </c>
      <c r="S403" t="n">
        <v>1</v>
      </c>
      <c r="T403" t="n">
        <v>1</v>
      </c>
      <c r="U403" t="inlineStr">
        <is>
          <t>1994-02-14</t>
        </is>
      </c>
      <c r="V403" t="inlineStr">
        <is>
          <t>1994-02-14</t>
        </is>
      </c>
      <c r="W403" t="inlineStr">
        <is>
          <t>1994-01-24</t>
        </is>
      </c>
      <c r="X403" t="inlineStr">
        <is>
          <t>1994-01-24</t>
        </is>
      </c>
      <c r="Y403" t="n">
        <v>376</v>
      </c>
      <c r="Z403" t="n">
        <v>347</v>
      </c>
      <c r="AA403" t="n">
        <v>371</v>
      </c>
      <c r="AB403" t="n">
        <v>2</v>
      </c>
      <c r="AC403" t="n">
        <v>3</v>
      </c>
      <c r="AD403" t="n">
        <v>11</v>
      </c>
      <c r="AE403" t="n">
        <v>12</v>
      </c>
      <c r="AF403" t="n">
        <v>2</v>
      </c>
      <c r="AG403" t="n">
        <v>2</v>
      </c>
      <c r="AH403" t="n">
        <v>3</v>
      </c>
      <c r="AI403" t="n">
        <v>3</v>
      </c>
      <c r="AJ403" t="n">
        <v>8</v>
      </c>
      <c r="AK403" t="n">
        <v>8</v>
      </c>
      <c r="AL403" t="n">
        <v>1</v>
      </c>
      <c r="AM403" t="n">
        <v>2</v>
      </c>
      <c r="AN403" t="n">
        <v>0</v>
      </c>
      <c r="AO403" t="n">
        <v>0</v>
      </c>
      <c r="AP403" t="inlineStr">
        <is>
          <t>No</t>
        </is>
      </c>
      <c r="AQ403" t="inlineStr">
        <is>
          <t>No</t>
        </is>
      </c>
      <c r="AS403">
        <f>HYPERLINK("https://creighton-primo.hosted.exlibrisgroup.com/primo-explore/search?tab=default_tab&amp;search_scope=EVERYTHING&amp;vid=01CRU&amp;lang=en_US&amp;offset=0&amp;query=any,contains,991002174199702656","Catalog Record")</f>
        <v/>
      </c>
      <c r="AT403">
        <f>HYPERLINK("http://www.worldcat.org/oclc/27976051","WorldCat Record")</f>
        <v/>
      </c>
      <c r="AU403" t="inlineStr">
        <is>
          <t>144080187:eng</t>
        </is>
      </c>
      <c r="AV403" t="inlineStr">
        <is>
          <t>27976051</t>
        </is>
      </c>
      <c r="AW403" t="inlineStr">
        <is>
          <t>991002174199702656</t>
        </is>
      </c>
      <c r="AX403" t="inlineStr">
        <is>
          <t>991002174199702656</t>
        </is>
      </c>
      <c r="AY403" t="inlineStr">
        <is>
          <t>2258222720002656</t>
        </is>
      </c>
      <c r="AZ403" t="inlineStr">
        <is>
          <t>BOOK</t>
        </is>
      </c>
      <c r="BB403" t="inlineStr">
        <is>
          <t>9780807118696</t>
        </is>
      </c>
      <c r="BC403" t="inlineStr">
        <is>
          <t>32285001833226</t>
        </is>
      </c>
      <c r="BD403" t="inlineStr">
        <is>
          <t>893523282</t>
        </is>
      </c>
    </row>
    <row r="404">
      <c r="A404" t="inlineStr">
        <is>
          <t>No</t>
        </is>
      </c>
      <c r="B404" t="inlineStr">
        <is>
          <t>PG7012 .K7</t>
        </is>
      </c>
      <c r="C404" t="inlineStr">
        <is>
          <t>0                      PG 7012000K  7</t>
        </is>
      </c>
      <c r="D404" t="inlineStr">
        <is>
          <t>Literatura polska : na tle rozwoju kultury / Manfred Kridl.</t>
        </is>
      </c>
      <c r="F404" t="inlineStr">
        <is>
          <t>No</t>
        </is>
      </c>
      <c r="G404" t="inlineStr">
        <is>
          <t>1</t>
        </is>
      </c>
      <c r="H404" t="inlineStr">
        <is>
          <t>No</t>
        </is>
      </c>
      <c r="I404" t="inlineStr">
        <is>
          <t>No</t>
        </is>
      </c>
      <c r="J404" t="inlineStr">
        <is>
          <t>0</t>
        </is>
      </c>
      <c r="K404" t="inlineStr">
        <is>
          <t>Kridl, Manfred, 1882-1957.</t>
        </is>
      </c>
      <c r="L404" t="inlineStr">
        <is>
          <t>New York : Roy Publishers, 1945.</t>
        </is>
      </c>
      <c r="M404" t="inlineStr">
        <is>
          <t>1945</t>
        </is>
      </c>
      <c r="O404" t="inlineStr">
        <is>
          <t>pol</t>
        </is>
      </c>
      <c r="P404" t="inlineStr">
        <is>
          <t>nyu</t>
        </is>
      </c>
      <c r="R404" t="inlineStr">
        <is>
          <t xml:space="preserve">PG </t>
        </is>
      </c>
      <c r="S404" t="n">
        <v>1</v>
      </c>
      <c r="T404" t="n">
        <v>1</v>
      </c>
      <c r="U404" t="inlineStr">
        <is>
          <t>2002-04-18</t>
        </is>
      </c>
      <c r="V404" t="inlineStr">
        <is>
          <t>2002-04-18</t>
        </is>
      </c>
      <c r="W404" t="inlineStr">
        <is>
          <t>1997-09-09</t>
        </is>
      </c>
      <c r="X404" t="inlineStr">
        <is>
          <t>1997-09-09</t>
        </is>
      </c>
      <c r="Y404" t="n">
        <v>55</v>
      </c>
      <c r="Z404" t="n">
        <v>40</v>
      </c>
      <c r="AA404" t="n">
        <v>42</v>
      </c>
      <c r="AB404" t="n">
        <v>2</v>
      </c>
      <c r="AC404" t="n">
        <v>2</v>
      </c>
      <c r="AD404" t="n">
        <v>3</v>
      </c>
      <c r="AE404" t="n">
        <v>3</v>
      </c>
      <c r="AF404" t="n">
        <v>1</v>
      </c>
      <c r="AG404" t="n">
        <v>1</v>
      </c>
      <c r="AH404" t="n">
        <v>1</v>
      </c>
      <c r="AI404" t="n">
        <v>1</v>
      </c>
      <c r="AJ404" t="n">
        <v>1</v>
      </c>
      <c r="AK404" t="n">
        <v>1</v>
      </c>
      <c r="AL404" t="n">
        <v>1</v>
      </c>
      <c r="AM404" t="n">
        <v>1</v>
      </c>
      <c r="AN404" t="n">
        <v>0</v>
      </c>
      <c r="AO404" t="n">
        <v>0</v>
      </c>
      <c r="AP404" t="inlineStr">
        <is>
          <t>No</t>
        </is>
      </c>
      <c r="AQ404" t="inlineStr">
        <is>
          <t>Yes</t>
        </is>
      </c>
      <c r="AR404">
        <f>HYPERLINK("http://catalog.hathitrust.org/Record/001230899","HathiTrust Record")</f>
        <v/>
      </c>
      <c r="AS404">
        <f>HYPERLINK("https://creighton-primo.hosted.exlibrisgroup.com/primo-explore/search?tab=default_tab&amp;search_scope=EVERYTHING&amp;vid=01CRU&amp;lang=en_US&amp;offset=0&amp;query=any,contains,991002251699702656","Catalog Record")</f>
        <v/>
      </c>
      <c r="AT404">
        <f>HYPERLINK("http://www.worldcat.org/oclc/299222","WorldCat Record")</f>
        <v/>
      </c>
      <c r="AU404" t="inlineStr">
        <is>
          <t>2829731481:pol</t>
        </is>
      </c>
      <c r="AV404" t="inlineStr">
        <is>
          <t>299222</t>
        </is>
      </c>
      <c r="AW404" t="inlineStr">
        <is>
          <t>991002251699702656</t>
        </is>
      </c>
      <c r="AX404" t="inlineStr">
        <is>
          <t>991002251699702656</t>
        </is>
      </c>
      <c r="AY404" t="inlineStr">
        <is>
          <t>2264401790002656</t>
        </is>
      </c>
      <c r="AZ404" t="inlineStr">
        <is>
          <t>BOOK</t>
        </is>
      </c>
      <c r="BC404" t="inlineStr">
        <is>
          <t>32285003221511</t>
        </is>
      </c>
      <c r="BD404" t="inlineStr">
        <is>
          <t>893510503</t>
        </is>
      </c>
    </row>
    <row r="405">
      <c r="A405" t="inlineStr">
        <is>
          <t>No</t>
        </is>
      </c>
      <c r="B405" t="inlineStr">
        <is>
          <t>PG7133 .K7</t>
        </is>
      </c>
      <c r="C405" t="inlineStr">
        <is>
          <t>0                      PG 7133000K  7</t>
        </is>
      </c>
      <c r="D405" t="inlineStr">
        <is>
          <t>An Anthology of Polish literature, edited with English commentary and notes.</t>
        </is>
      </c>
      <c r="F405" t="inlineStr">
        <is>
          <t>No</t>
        </is>
      </c>
      <c r="G405" t="inlineStr">
        <is>
          <t>1</t>
        </is>
      </c>
      <c r="H405" t="inlineStr">
        <is>
          <t>No</t>
        </is>
      </c>
      <c r="I405" t="inlineStr">
        <is>
          <t>No</t>
        </is>
      </c>
      <c r="J405" t="inlineStr">
        <is>
          <t>0</t>
        </is>
      </c>
      <c r="K405" t="inlineStr">
        <is>
          <t>Kridl, Manfred, 1882-1957, editor.</t>
        </is>
      </c>
      <c r="L405" t="inlineStr">
        <is>
          <t>New York, Columbia University Press 1957.</t>
        </is>
      </c>
      <c r="M405" t="inlineStr">
        <is>
          <t>1957</t>
        </is>
      </c>
      <c r="O405" t="inlineStr">
        <is>
          <t>eng</t>
        </is>
      </c>
      <c r="P405" t="inlineStr">
        <is>
          <t>nyu</t>
        </is>
      </c>
      <c r="Q405" t="inlineStr">
        <is>
          <t>Columbia Slavic studies</t>
        </is>
      </c>
      <c r="R405" t="inlineStr">
        <is>
          <t xml:space="preserve">PG </t>
        </is>
      </c>
      <c r="S405" t="n">
        <v>1</v>
      </c>
      <c r="T405" t="n">
        <v>1</v>
      </c>
      <c r="U405" t="inlineStr">
        <is>
          <t>2002-04-18</t>
        </is>
      </c>
      <c r="V405" t="inlineStr">
        <is>
          <t>2002-04-18</t>
        </is>
      </c>
      <c r="W405" t="inlineStr">
        <is>
          <t>1997-09-09</t>
        </is>
      </c>
      <c r="X405" t="inlineStr">
        <is>
          <t>1997-09-09</t>
        </is>
      </c>
      <c r="Y405" t="n">
        <v>376</v>
      </c>
      <c r="Z405" t="n">
        <v>335</v>
      </c>
      <c r="AA405" t="n">
        <v>361</v>
      </c>
      <c r="AB405" t="n">
        <v>2</v>
      </c>
      <c r="AC405" t="n">
        <v>2</v>
      </c>
      <c r="AD405" t="n">
        <v>15</v>
      </c>
      <c r="AE405" t="n">
        <v>16</v>
      </c>
      <c r="AF405" t="n">
        <v>6</v>
      </c>
      <c r="AG405" t="n">
        <v>6</v>
      </c>
      <c r="AH405" t="n">
        <v>2</v>
      </c>
      <c r="AI405" t="n">
        <v>3</v>
      </c>
      <c r="AJ405" t="n">
        <v>10</v>
      </c>
      <c r="AK405" t="n">
        <v>11</v>
      </c>
      <c r="AL405" t="n">
        <v>1</v>
      </c>
      <c r="AM405" t="n">
        <v>1</v>
      </c>
      <c r="AN405" t="n">
        <v>0</v>
      </c>
      <c r="AO405" t="n">
        <v>0</v>
      </c>
      <c r="AP405" t="inlineStr">
        <is>
          <t>No</t>
        </is>
      </c>
      <c r="AQ405" t="inlineStr">
        <is>
          <t>No</t>
        </is>
      </c>
      <c r="AR405">
        <f>HYPERLINK("http://catalog.hathitrust.org/Record/001230244","HathiTrust Record")</f>
        <v/>
      </c>
      <c r="AS405">
        <f>HYPERLINK("https://creighton-primo.hosted.exlibrisgroup.com/primo-explore/search?tab=default_tab&amp;search_scope=EVERYTHING&amp;vid=01CRU&amp;lang=en_US&amp;offset=0&amp;query=any,contains,991003705509702656","Catalog Record")</f>
        <v/>
      </c>
      <c r="AT405">
        <f>HYPERLINK("http://www.worldcat.org/oclc/1343051","WorldCat Record")</f>
        <v/>
      </c>
      <c r="AU405" t="inlineStr">
        <is>
          <t>2236189:eng</t>
        </is>
      </c>
      <c r="AV405" t="inlineStr">
        <is>
          <t>1343051</t>
        </is>
      </c>
      <c r="AW405" t="inlineStr">
        <is>
          <t>991003705509702656</t>
        </is>
      </c>
      <c r="AX405" t="inlineStr">
        <is>
          <t>991003705509702656</t>
        </is>
      </c>
      <c r="AY405" t="inlineStr">
        <is>
          <t>2263504260002656</t>
        </is>
      </c>
      <c r="AZ405" t="inlineStr">
        <is>
          <t>BOOK</t>
        </is>
      </c>
      <c r="BC405" t="inlineStr">
        <is>
          <t>32285003221529</t>
        </is>
      </c>
      <c r="BD405" t="inlineStr">
        <is>
          <t>893868741</t>
        </is>
      </c>
    </row>
    <row r="406">
      <c r="A406" t="inlineStr">
        <is>
          <t>No</t>
        </is>
      </c>
      <c r="B406" t="inlineStr">
        <is>
          <t>PG7157.K6 T713 1995</t>
        </is>
      </c>
      <c r="C406" t="inlineStr">
        <is>
          <t>0                      PG 7157000K  6                  T  713         1995</t>
        </is>
      </c>
      <c r="D406" t="inlineStr">
        <is>
          <t>Laments / Jan Kochanowski, 1530-1584 ; translated by Seamus Heaney and Stanisław Barańczak.</t>
        </is>
      </c>
      <c r="F406" t="inlineStr">
        <is>
          <t>No</t>
        </is>
      </c>
      <c r="G406" t="inlineStr">
        <is>
          <t>1</t>
        </is>
      </c>
      <c r="H406" t="inlineStr">
        <is>
          <t>No</t>
        </is>
      </c>
      <c r="I406" t="inlineStr">
        <is>
          <t>No</t>
        </is>
      </c>
      <c r="J406" t="inlineStr">
        <is>
          <t>0</t>
        </is>
      </c>
      <c r="K406" t="inlineStr">
        <is>
          <t>Kochanowski, Jan, 1530-1584.</t>
        </is>
      </c>
      <c r="L406" t="inlineStr">
        <is>
          <t>London ; Boston : Faber and Faber, 1995.</t>
        </is>
      </c>
      <c r="M406" t="inlineStr">
        <is>
          <t>1995</t>
        </is>
      </c>
      <c r="O406" t="inlineStr">
        <is>
          <t>eng</t>
        </is>
      </c>
      <c r="P406" t="inlineStr">
        <is>
          <t>enk</t>
        </is>
      </c>
      <c r="R406" t="inlineStr">
        <is>
          <t xml:space="preserve">PG </t>
        </is>
      </c>
      <c r="S406" t="n">
        <v>1</v>
      </c>
      <c r="T406" t="n">
        <v>1</v>
      </c>
      <c r="U406" t="inlineStr">
        <is>
          <t>1997-11-30</t>
        </is>
      </c>
      <c r="V406" t="inlineStr">
        <is>
          <t>1997-11-30</t>
        </is>
      </c>
      <c r="W406" t="inlineStr">
        <is>
          <t>1996-03-29</t>
        </is>
      </c>
      <c r="X406" t="inlineStr">
        <is>
          <t>1996-03-29</t>
        </is>
      </c>
      <c r="Y406" t="n">
        <v>101</v>
      </c>
      <c r="Z406" t="n">
        <v>39</v>
      </c>
      <c r="AA406" t="n">
        <v>316</v>
      </c>
      <c r="AB406" t="n">
        <v>2</v>
      </c>
      <c r="AC406" t="n">
        <v>2</v>
      </c>
      <c r="AD406" t="n">
        <v>1</v>
      </c>
      <c r="AE406" t="n">
        <v>16</v>
      </c>
      <c r="AF406" t="n">
        <v>0</v>
      </c>
      <c r="AG406" t="n">
        <v>4</v>
      </c>
      <c r="AH406" t="n">
        <v>0</v>
      </c>
      <c r="AI406" t="n">
        <v>6</v>
      </c>
      <c r="AJ406" t="n">
        <v>0</v>
      </c>
      <c r="AK406" t="n">
        <v>10</v>
      </c>
      <c r="AL406" t="n">
        <v>1</v>
      </c>
      <c r="AM406" t="n">
        <v>1</v>
      </c>
      <c r="AN406" t="n">
        <v>0</v>
      </c>
      <c r="AO406" t="n">
        <v>0</v>
      </c>
      <c r="AP406" t="inlineStr">
        <is>
          <t>No</t>
        </is>
      </c>
      <c r="AQ406" t="inlineStr">
        <is>
          <t>No</t>
        </is>
      </c>
      <c r="AS406">
        <f>HYPERLINK("https://creighton-primo.hosted.exlibrisgroup.com/primo-explore/search?tab=default_tab&amp;search_scope=EVERYTHING&amp;vid=01CRU&amp;lang=en_US&amp;offset=0&amp;query=any,contains,991002593749702656","Catalog Record")</f>
        <v/>
      </c>
      <c r="AT406">
        <f>HYPERLINK("http://www.worldcat.org/oclc/33971704","WorldCat Record")</f>
        <v/>
      </c>
      <c r="AU406" t="inlineStr">
        <is>
          <t>3770101867:eng</t>
        </is>
      </c>
      <c r="AV406" t="inlineStr">
        <is>
          <t>33971704</t>
        </is>
      </c>
      <c r="AW406" t="inlineStr">
        <is>
          <t>991002593749702656</t>
        </is>
      </c>
      <c r="AX406" t="inlineStr">
        <is>
          <t>991002593749702656</t>
        </is>
      </c>
      <c r="AY406" t="inlineStr">
        <is>
          <t>2266366900002656</t>
        </is>
      </c>
      <c r="AZ406" t="inlineStr">
        <is>
          <t>BOOK</t>
        </is>
      </c>
      <c r="BB406" t="inlineStr">
        <is>
          <t>9780571175949</t>
        </is>
      </c>
      <c r="BC406" t="inlineStr">
        <is>
          <t>32285002148103</t>
        </is>
      </c>
      <c r="BD406" t="inlineStr">
        <is>
          <t>893591534</t>
        </is>
      </c>
    </row>
    <row r="407">
      <c r="A407" t="inlineStr">
        <is>
          <t>No</t>
        </is>
      </c>
      <c r="B407" t="inlineStr">
        <is>
          <t>PG7157.K6 Z92</t>
        </is>
      </c>
      <c r="C407" t="inlineStr">
        <is>
          <t>0                      PG 7157000K  6                  Z  92</t>
        </is>
      </c>
      <c r="D407" t="inlineStr">
        <is>
          <t>Jan Kochanowski, by David Welsh.</t>
        </is>
      </c>
      <c r="F407" t="inlineStr">
        <is>
          <t>No</t>
        </is>
      </c>
      <c r="G407" t="inlineStr">
        <is>
          <t>1</t>
        </is>
      </c>
      <c r="H407" t="inlineStr">
        <is>
          <t>No</t>
        </is>
      </c>
      <c r="I407" t="inlineStr">
        <is>
          <t>No</t>
        </is>
      </c>
      <c r="J407" t="inlineStr">
        <is>
          <t>0</t>
        </is>
      </c>
      <c r="K407" t="inlineStr">
        <is>
          <t>Welsh, David J.</t>
        </is>
      </c>
      <c r="L407" t="inlineStr">
        <is>
          <t>New York, Twayne Publishers [1974]</t>
        </is>
      </c>
      <c r="M407" t="inlineStr">
        <is>
          <t>1974</t>
        </is>
      </c>
      <c r="O407" t="inlineStr">
        <is>
          <t>eng</t>
        </is>
      </c>
      <c r="P407" t="inlineStr">
        <is>
          <t>nyu</t>
        </is>
      </c>
      <c r="Q407" t="inlineStr">
        <is>
          <t>Twayne's world authors series, TWAS 330. Poland</t>
        </is>
      </c>
      <c r="R407" t="inlineStr">
        <is>
          <t xml:space="preserve">PG </t>
        </is>
      </c>
      <c r="S407" t="n">
        <v>2</v>
      </c>
      <c r="T407" t="n">
        <v>2</v>
      </c>
      <c r="U407" t="inlineStr">
        <is>
          <t>1997-11-30</t>
        </is>
      </c>
      <c r="V407" t="inlineStr">
        <is>
          <t>1997-11-30</t>
        </is>
      </c>
      <c r="W407" t="inlineStr">
        <is>
          <t>1997-09-09</t>
        </is>
      </c>
      <c r="X407" t="inlineStr">
        <is>
          <t>1997-09-09</t>
        </is>
      </c>
      <c r="Y407" t="n">
        <v>426</v>
      </c>
      <c r="Z407" t="n">
        <v>374</v>
      </c>
      <c r="AA407" t="n">
        <v>381</v>
      </c>
      <c r="AB407" t="n">
        <v>3</v>
      </c>
      <c r="AC407" t="n">
        <v>3</v>
      </c>
      <c r="AD407" t="n">
        <v>15</v>
      </c>
      <c r="AE407" t="n">
        <v>15</v>
      </c>
      <c r="AF407" t="n">
        <v>7</v>
      </c>
      <c r="AG407" t="n">
        <v>7</v>
      </c>
      <c r="AH407" t="n">
        <v>2</v>
      </c>
      <c r="AI407" t="n">
        <v>2</v>
      </c>
      <c r="AJ407" t="n">
        <v>8</v>
      </c>
      <c r="AK407" t="n">
        <v>8</v>
      </c>
      <c r="AL407" t="n">
        <v>2</v>
      </c>
      <c r="AM407" t="n">
        <v>2</v>
      </c>
      <c r="AN407" t="n">
        <v>0</v>
      </c>
      <c r="AO407" t="n">
        <v>0</v>
      </c>
      <c r="AP407" t="inlineStr">
        <is>
          <t>No</t>
        </is>
      </c>
      <c r="AQ407" t="inlineStr">
        <is>
          <t>Yes</t>
        </is>
      </c>
      <c r="AR407">
        <f>HYPERLINK("http://catalog.hathitrust.org/Record/001230168","HathiTrust Record")</f>
        <v/>
      </c>
      <c r="AS407">
        <f>HYPERLINK("https://creighton-primo.hosted.exlibrisgroup.com/primo-explore/search?tab=default_tab&amp;search_scope=EVERYTHING&amp;vid=01CRU&amp;lang=en_US&amp;offset=0&amp;query=any,contains,991003343209702656","Catalog Record")</f>
        <v/>
      </c>
      <c r="AT407">
        <f>HYPERLINK("http://www.worldcat.org/oclc/874192","WorldCat Record")</f>
        <v/>
      </c>
      <c r="AU407" t="inlineStr">
        <is>
          <t>1847124:eng</t>
        </is>
      </c>
      <c r="AV407" t="inlineStr">
        <is>
          <t>874192</t>
        </is>
      </c>
      <c r="AW407" t="inlineStr">
        <is>
          <t>991003343209702656</t>
        </is>
      </c>
      <c r="AX407" t="inlineStr">
        <is>
          <t>991003343209702656</t>
        </is>
      </c>
      <c r="AY407" t="inlineStr">
        <is>
          <t>2262436990002656</t>
        </is>
      </c>
      <c r="AZ407" t="inlineStr">
        <is>
          <t>BOOK</t>
        </is>
      </c>
      <c r="BB407" t="inlineStr">
        <is>
          <t>9780805724905</t>
        </is>
      </c>
      <c r="BC407" t="inlineStr">
        <is>
          <t>32285003221552</t>
        </is>
      </c>
      <c r="BD407" t="inlineStr">
        <is>
          <t>893774642</t>
        </is>
      </c>
    </row>
    <row r="408">
      <c r="A408" t="inlineStr">
        <is>
          <t>No</t>
        </is>
      </c>
      <c r="B408" t="inlineStr">
        <is>
          <t>PG7158.H55 G7 1975</t>
        </is>
      </c>
      <c r="C408" t="inlineStr">
        <is>
          <t>0                      PG 7158000H  55                 G  7           1975</t>
        </is>
      </c>
      <c r="D408" t="inlineStr">
        <is>
          <t>The graveyard / by Marek Hlasko ; translated from the Polish by Norbert Guterman.</t>
        </is>
      </c>
      <c r="F408" t="inlineStr">
        <is>
          <t>No</t>
        </is>
      </c>
      <c r="G408" t="inlineStr">
        <is>
          <t>1</t>
        </is>
      </c>
      <c r="H408" t="inlineStr">
        <is>
          <t>No</t>
        </is>
      </c>
      <c r="I408" t="inlineStr">
        <is>
          <t>No</t>
        </is>
      </c>
      <c r="J408" t="inlineStr">
        <is>
          <t>0</t>
        </is>
      </c>
      <c r="K408" t="inlineStr">
        <is>
          <t>Hłasko, Marek, 1934-1969.</t>
        </is>
      </c>
      <c r="L408" t="inlineStr">
        <is>
          <t>Westport, Conn. : Greenwood Press, 1975, c1959.</t>
        </is>
      </c>
      <c r="M408" t="inlineStr">
        <is>
          <t>1975</t>
        </is>
      </c>
      <c r="O408" t="inlineStr">
        <is>
          <t>eng</t>
        </is>
      </c>
      <c r="P408" t="inlineStr">
        <is>
          <t>ctu</t>
        </is>
      </c>
      <c r="R408" t="inlineStr">
        <is>
          <t xml:space="preserve">PG </t>
        </is>
      </c>
      <c r="S408" t="n">
        <v>0</v>
      </c>
      <c r="T408" t="n">
        <v>0</v>
      </c>
      <c r="U408" t="inlineStr">
        <is>
          <t>2007-11-13</t>
        </is>
      </c>
      <c r="V408" t="inlineStr">
        <is>
          <t>2007-11-13</t>
        </is>
      </c>
      <c r="W408" t="inlineStr">
        <is>
          <t>1997-09-09</t>
        </is>
      </c>
      <c r="X408" t="inlineStr">
        <is>
          <t>1997-09-09</t>
        </is>
      </c>
      <c r="Y408" t="n">
        <v>66</v>
      </c>
      <c r="Z408" t="n">
        <v>55</v>
      </c>
      <c r="AA408" t="n">
        <v>269</v>
      </c>
      <c r="AB408" t="n">
        <v>2</v>
      </c>
      <c r="AC408" t="n">
        <v>4</v>
      </c>
      <c r="AD408" t="n">
        <v>3</v>
      </c>
      <c r="AE408" t="n">
        <v>9</v>
      </c>
      <c r="AF408" t="n">
        <v>1</v>
      </c>
      <c r="AG408" t="n">
        <v>3</v>
      </c>
      <c r="AH408" t="n">
        <v>1</v>
      </c>
      <c r="AI408" t="n">
        <v>2</v>
      </c>
      <c r="AJ408" t="n">
        <v>0</v>
      </c>
      <c r="AK408" t="n">
        <v>3</v>
      </c>
      <c r="AL408" t="n">
        <v>1</v>
      </c>
      <c r="AM408" t="n">
        <v>3</v>
      </c>
      <c r="AN408" t="n">
        <v>0</v>
      </c>
      <c r="AO408" t="n">
        <v>0</v>
      </c>
      <c r="AP408" t="inlineStr">
        <is>
          <t>No</t>
        </is>
      </c>
      <c r="AQ408" t="inlineStr">
        <is>
          <t>No</t>
        </is>
      </c>
      <c r="AS408">
        <f>HYPERLINK("https://creighton-primo.hosted.exlibrisgroup.com/primo-explore/search?tab=default_tab&amp;search_scope=EVERYTHING&amp;vid=01CRU&amp;lang=en_US&amp;offset=0&amp;query=any,contains,991003560049702656","Catalog Record")</f>
        <v/>
      </c>
      <c r="AT408">
        <f>HYPERLINK("http://www.worldcat.org/oclc/1130036","WorldCat Record")</f>
        <v/>
      </c>
      <c r="AU408" t="inlineStr">
        <is>
          <t>2973726936:eng</t>
        </is>
      </c>
      <c r="AV408" t="inlineStr">
        <is>
          <t>1130036</t>
        </is>
      </c>
      <c r="AW408" t="inlineStr">
        <is>
          <t>991003560049702656</t>
        </is>
      </c>
      <c r="AX408" t="inlineStr">
        <is>
          <t>991003560049702656</t>
        </is>
      </c>
      <c r="AY408" t="inlineStr">
        <is>
          <t>2265549670002656</t>
        </is>
      </c>
      <c r="AZ408" t="inlineStr">
        <is>
          <t>BOOK</t>
        </is>
      </c>
      <c r="BB408" t="inlineStr">
        <is>
          <t>9780837178974</t>
        </is>
      </c>
      <c r="BC408" t="inlineStr">
        <is>
          <t>32285003221610</t>
        </is>
      </c>
      <c r="BD408" t="inlineStr">
        <is>
          <t>893699119</t>
        </is>
      </c>
    </row>
    <row r="409">
      <c r="A409" t="inlineStr">
        <is>
          <t>No</t>
        </is>
      </c>
      <c r="B409" t="inlineStr">
        <is>
          <t>PG7158.K6513 K613 1998</t>
        </is>
      </c>
      <c r="C409" t="inlineStr">
        <is>
          <t>0                      PG 7158000K  6513               K  613         1998</t>
        </is>
      </c>
      <c r="D409" t="inlineStr">
        <is>
          <t>The Polish complex / by Tadeusz Konwicki ; translated by Richard Lourie.</t>
        </is>
      </c>
      <c r="F409" t="inlineStr">
        <is>
          <t>No</t>
        </is>
      </c>
      <c r="G409" t="inlineStr">
        <is>
          <t>1</t>
        </is>
      </c>
      <c r="H409" t="inlineStr">
        <is>
          <t>No</t>
        </is>
      </c>
      <c r="I409" t="inlineStr">
        <is>
          <t>No</t>
        </is>
      </c>
      <c r="J409" t="inlineStr">
        <is>
          <t>0</t>
        </is>
      </c>
      <c r="K409" t="inlineStr">
        <is>
          <t>Konwicki, Tadeusz.</t>
        </is>
      </c>
      <c r="L409" t="inlineStr">
        <is>
          <t>Normal, IL : Dalkey Archive Press, 1998.</t>
        </is>
      </c>
      <c r="M409" t="inlineStr">
        <is>
          <t>1998</t>
        </is>
      </c>
      <c r="N409" t="inlineStr">
        <is>
          <t>1st Dalkey Archive ed.</t>
        </is>
      </c>
      <c r="O409" t="inlineStr">
        <is>
          <t>eng</t>
        </is>
      </c>
      <c r="P409" t="inlineStr">
        <is>
          <t>ilu</t>
        </is>
      </c>
      <c r="R409" t="inlineStr">
        <is>
          <t xml:space="preserve">PG </t>
        </is>
      </c>
      <c r="S409" t="n">
        <v>1</v>
      </c>
      <c r="T409" t="n">
        <v>1</v>
      </c>
      <c r="U409" t="inlineStr">
        <is>
          <t>2005-04-04</t>
        </is>
      </c>
      <c r="V409" t="inlineStr">
        <is>
          <t>2005-04-04</t>
        </is>
      </c>
      <c r="W409" t="inlineStr">
        <is>
          <t>2005-04-04</t>
        </is>
      </c>
      <c r="X409" t="inlineStr">
        <is>
          <t>2005-04-04</t>
        </is>
      </c>
      <c r="Y409" t="n">
        <v>192</v>
      </c>
      <c r="Z409" t="n">
        <v>171</v>
      </c>
      <c r="AA409" t="n">
        <v>547</v>
      </c>
      <c r="AB409" t="n">
        <v>3</v>
      </c>
      <c r="AC409" t="n">
        <v>4</v>
      </c>
      <c r="AD409" t="n">
        <v>14</v>
      </c>
      <c r="AE409" t="n">
        <v>29</v>
      </c>
      <c r="AF409" t="n">
        <v>5</v>
      </c>
      <c r="AG409" t="n">
        <v>11</v>
      </c>
      <c r="AH409" t="n">
        <v>4</v>
      </c>
      <c r="AI409" t="n">
        <v>8</v>
      </c>
      <c r="AJ409" t="n">
        <v>5</v>
      </c>
      <c r="AK409" t="n">
        <v>15</v>
      </c>
      <c r="AL409" t="n">
        <v>2</v>
      </c>
      <c r="AM409" t="n">
        <v>3</v>
      </c>
      <c r="AN409" t="n">
        <v>0</v>
      </c>
      <c r="AO409" t="n">
        <v>0</v>
      </c>
      <c r="AP409" t="inlineStr">
        <is>
          <t>No</t>
        </is>
      </c>
      <c r="AQ409" t="inlineStr">
        <is>
          <t>No</t>
        </is>
      </c>
      <c r="AS409">
        <f>HYPERLINK("https://creighton-primo.hosted.exlibrisgroup.com/primo-explore/search?tab=default_tab&amp;search_scope=EVERYTHING&amp;vid=01CRU&amp;lang=en_US&amp;offset=0&amp;query=any,contains,991004505259702656","Catalog Record")</f>
        <v/>
      </c>
      <c r="AT409">
        <f>HYPERLINK("http://www.worldcat.org/oclc/39147862","WorldCat Record")</f>
        <v/>
      </c>
      <c r="AU409" t="inlineStr">
        <is>
          <t>5090491476:eng</t>
        </is>
      </c>
      <c r="AV409" t="inlineStr">
        <is>
          <t>39147862</t>
        </is>
      </c>
      <c r="AW409" t="inlineStr">
        <is>
          <t>991004505259702656</t>
        </is>
      </c>
      <c r="AX409" t="inlineStr">
        <is>
          <t>991004505259702656</t>
        </is>
      </c>
      <c r="AY409" t="inlineStr">
        <is>
          <t>2264680720002656</t>
        </is>
      </c>
      <c r="AZ409" t="inlineStr">
        <is>
          <t>BOOK</t>
        </is>
      </c>
      <c r="BB409" t="inlineStr">
        <is>
          <t>9781564782014</t>
        </is>
      </c>
      <c r="BC409" t="inlineStr">
        <is>
          <t>32285005046957</t>
        </is>
      </c>
      <c r="BD409" t="inlineStr">
        <is>
          <t>893794937</t>
        </is>
      </c>
    </row>
    <row r="410">
      <c r="A410" t="inlineStr">
        <is>
          <t>No</t>
        </is>
      </c>
      <c r="B410" t="inlineStr">
        <is>
          <t>PG7158.K6513 M313 1983</t>
        </is>
      </c>
      <c r="C410" t="inlineStr">
        <is>
          <t>0                      PG 7158000K  6513               M  313         1983</t>
        </is>
      </c>
      <c r="D410" t="inlineStr">
        <is>
          <t>A minor apocalypse / Tadeusz Konwicki ; translated from the Polish by Richard Lourie.</t>
        </is>
      </c>
      <c r="F410" t="inlineStr">
        <is>
          <t>No</t>
        </is>
      </c>
      <c r="G410" t="inlineStr">
        <is>
          <t>1</t>
        </is>
      </c>
      <c r="H410" t="inlineStr">
        <is>
          <t>No</t>
        </is>
      </c>
      <c r="I410" t="inlineStr">
        <is>
          <t>No</t>
        </is>
      </c>
      <c r="J410" t="inlineStr">
        <is>
          <t>0</t>
        </is>
      </c>
      <c r="K410" t="inlineStr">
        <is>
          <t>Konwicki, Tadeusz.</t>
        </is>
      </c>
      <c r="L410" t="inlineStr">
        <is>
          <t>New York : Farrar, Straus, Giroux, c1983.</t>
        </is>
      </c>
      <c r="M410" t="inlineStr">
        <is>
          <t>1983</t>
        </is>
      </c>
      <c r="O410" t="inlineStr">
        <is>
          <t>eng</t>
        </is>
      </c>
      <c r="P410" t="inlineStr">
        <is>
          <t>nyu</t>
        </is>
      </c>
      <c r="R410" t="inlineStr">
        <is>
          <t xml:space="preserve">PG </t>
        </is>
      </c>
      <c r="S410" t="n">
        <v>3</v>
      </c>
      <c r="T410" t="n">
        <v>3</v>
      </c>
      <c r="U410" t="inlineStr">
        <is>
          <t>2010-04-14</t>
        </is>
      </c>
      <c r="V410" t="inlineStr">
        <is>
          <t>2010-04-14</t>
        </is>
      </c>
      <c r="W410" t="inlineStr">
        <is>
          <t>1993-04-28</t>
        </is>
      </c>
      <c r="X410" t="inlineStr">
        <is>
          <t>1993-04-28</t>
        </is>
      </c>
      <c r="Y410" t="n">
        <v>412</v>
      </c>
      <c r="Z410" t="n">
        <v>376</v>
      </c>
      <c r="AA410" t="n">
        <v>588</v>
      </c>
      <c r="AB410" t="n">
        <v>1</v>
      </c>
      <c r="AC410" t="n">
        <v>5</v>
      </c>
      <c r="AD410" t="n">
        <v>10</v>
      </c>
      <c r="AE410" t="n">
        <v>27</v>
      </c>
      <c r="AF410" t="n">
        <v>5</v>
      </c>
      <c r="AG410" t="n">
        <v>11</v>
      </c>
      <c r="AH410" t="n">
        <v>4</v>
      </c>
      <c r="AI410" t="n">
        <v>6</v>
      </c>
      <c r="AJ410" t="n">
        <v>4</v>
      </c>
      <c r="AK410" t="n">
        <v>12</v>
      </c>
      <c r="AL410" t="n">
        <v>0</v>
      </c>
      <c r="AM410" t="n">
        <v>4</v>
      </c>
      <c r="AN410" t="n">
        <v>0</v>
      </c>
      <c r="AO410" t="n">
        <v>0</v>
      </c>
      <c r="AP410" t="inlineStr">
        <is>
          <t>No</t>
        </is>
      </c>
      <c r="AQ410" t="inlineStr">
        <is>
          <t>No</t>
        </is>
      </c>
      <c r="AS410">
        <f>HYPERLINK("https://creighton-primo.hosted.exlibrisgroup.com/primo-explore/search?tab=default_tab&amp;search_scope=EVERYTHING&amp;vid=01CRU&amp;lang=en_US&amp;offset=0&amp;query=any,contains,991000182339702656","Catalog Record")</f>
        <v/>
      </c>
      <c r="AT410">
        <f>HYPERLINK("http://www.worldcat.org/oclc/9392386","WorldCat Record")</f>
        <v/>
      </c>
      <c r="AU410" t="inlineStr">
        <is>
          <t>3612818:eng</t>
        </is>
      </c>
      <c r="AV410" t="inlineStr">
        <is>
          <t>9392386</t>
        </is>
      </c>
      <c r="AW410" t="inlineStr">
        <is>
          <t>991000182339702656</t>
        </is>
      </c>
      <c r="AX410" t="inlineStr">
        <is>
          <t>991000182339702656</t>
        </is>
      </c>
      <c r="AY410" t="inlineStr">
        <is>
          <t>2268594870002656</t>
        </is>
      </c>
      <c r="AZ410" t="inlineStr">
        <is>
          <t>BOOK</t>
        </is>
      </c>
      <c r="BB410" t="inlineStr">
        <is>
          <t>9780374209285</t>
        </is>
      </c>
      <c r="BC410" t="inlineStr">
        <is>
          <t>32285001649945</t>
        </is>
      </c>
      <c r="BD410" t="inlineStr">
        <is>
          <t>893689503</t>
        </is>
      </c>
    </row>
    <row r="411">
      <c r="A411" t="inlineStr">
        <is>
          <t>No</t>
        </is>
      </c>
      <c r="B411" t="inlineStr">
        <is>
          <t>PG7158.M5 A37 1955</t>
        </is>
      </c>
      <c r="C411" t="inlineStr">
        <is>
          <t>0                      PG 7158000M  5                  A  37          1955</t>
        </is>
      </c>
      <c r="D411" t="inlineStr">
        <is>
          <t>Adam Mickiewicz, 1798-1855 : selected poetry and prose / edited with an introduction by Stanislaw Helsztynski.</t>
        </is>
      </c>
      <c r="F411" t="inlineStr">
        <is>
          <t>No</t>
        </is>
      </c>
      <c r="G411" t="inlineStr">
        <is>
          <t>1</t>
        </is>
      </c>
      <c r="H411" t="inlineStr">
        <is>
          <t>No</t>
        </is>
      </c>
      <c r="I411" t="inlineStr">
        <is>
          <t>No</t>
        </is>
      </c>
      <c r="J411" t="inlineStr">
        <is>
          <t>0</t>
        </is>
      </c>
      <c r="K411" t="inlineStr">
        <is>
          <t>Mickiewicz, Adam, 1798-1855.</t>
        </is>
      </c>
      <c r="L411" t="inlineStr">
        <is>
          <t>Warsaw : Polonia Pub. House, 1955.</t>
        </is>
      </c>
      <c r="M411" t="inlineStr">
        <is>
          <t>1955</t>
        </is>
      </c>
      <c r="N411" t="inlineStr">
        <is>
          <t>Centenary commemorative ed.</t>
        </is>
      </c>
      <c r="O411" t="inlineStr">
        <is>
          <t>eng</t>
        </is>
      </c>
      <c r="P411" t="inlineStr">
        <is>
          <t xml:space="preserve">pl </t>
        </is>
      </c>
      <c r="R411" t="inlineStr">
        <is>
          <t xml:space="preserve">PG </t>
        </is>
      </c>
      <c r="S411" t="n">
        <v>1</v>
      </c>
      <c r="T411" t="n">
        <v>1</v>
      </c>
      <c r="U411" t="inlineStr">
        <is>
          <t>2004-08-26</t>
        </is>
      </c>
      <c r="V411" t="inlineStr">
        <is>
          <t>2004-08-26</t>
        </is>
      </c>
      <c r="W411" t="inlineStr">
        <is>
          <t>1997-09-11</t>
        </is>
      </c>
      <c r="X411" t="inlineStr">
        <is>
          <t>1997-09-11</t>
        </is>
      </c>
      <c r="Y411" t="n">
        <v>85</v>
      </c>
      <c r="Z411" t="n">
        <v>67</v>
      </c>
      <c r="AA411" t="n">
        <v>67</v>
      </c>
      <c r="AB411" t="n">
        <v>1</v>
      </c>
      <c r="AC411" t="n">
        <v>1</v>
      </c>
      <c r="AD411" t="n">
        <v>6</v>
      </c>
      <c r="AE411" t="n">
        <v>6</v>
      </c>
      <c r="AF411" t="n">
        <v>3</v>
      </c>
      <c r="AG411" t="n">
        <v>3</v>
      </c>
      <c r="AH411" t="n">
        <v>2</v>
      </c>
      <c r="AI411" t="n">
        <v>2</v>
      </c>
      <c r="AJ411" t="n">
        <v>3</v>
      </c>
      <c r="AK411" t="n">
        <v>3</v>
      </c>
      <c r="AL411" t="n">
        <v>0</v>
      </c>
      <c r="AM411" t="n">
        <v>0</v>
      </c>
      <c r="AN411" t="n">
        <v>0</v>
      </c>
      <c r="AO411" t="n">
        <v>0</v>
      </c>
      <c r="AP411" t="inlineStr">
        <is>
          <t>No</t>
        </is>
      </c>
      <c r="AQ411" t="inlineStr">
        <is>
          <t>No</t>
        </is>
      </c>
      <c r="AS411">
        <f>HYPERLINK("https://creighton-primo.hosted.exlibrisgroup.com/primo-explore/search?tab=default_tab&amp;search_scope=EVERYTHING&amp;vid=01CRU&amp;lang=en_US&amp;offset=0&amp;query=any,contains,991004799039702656","Catalog Record")</f>
        <v/>
      </c>
      <c r="AT411">
        <f>HYPERLINK("http://www.worldcat.org/oclc/5197257","WorldCat Record")</f>
        <v/>
      </c>
      <c r="AU411" t="inlineStr">
        <is>
          <t>3901871830:eng</t>
        </is>
      </c>
      <c r="AV411" t="inlineStr">
        <is>
          <t>5197257</t>
        </is>
      </c>
      <c r="AW411" t="inlineStr">
        <is>
          <t>991004799039702656</t>
        </is>
      </c>
      <c r="AX411" t="inlineStr">
        <is>
          <t>991004799039702656</t>
        </is>
      </c>
      <c r="AY411" t="inlineStr">
        <is>
          <t>2258128670002656</t>
        </is>
      </c>
      <c r="AZ411" t="inlineStr">
        <is>
          <t>BOOK</t>
        </is>
      </c>
      <c r="BC411" t="inlineStr">
        <is>
          <t>32285003221750</t>
        </is>
      </c>
      <c r="BD411" t="inlineStr">
        <is>
          <t>893719391</t>
        </is>
      </c>
    </row>
    <row r="412">
      <c r="A412" t="inlineStr">
        <is>
          <t>No</t>
        </is>
      </c>
      <c r="B412" t="inlineStr">
        <is>
          <t>PG7158.M553 A2 1991</t>
        </is>
      </c>
      <c r="C412" t="inlineStr">
        <is>
          <t>0                      PG 7158000M  553                A  2           1991</t>
        </is>
      </c>
      <c r="D412" t="inlineStr">
        <is>
          <t>Provinces / Czesław Miłosz ; translated by the author and Robert Hass.</t>
        </is>
      </c>
      <c r="F412" t="inlineStr">
        <is>
          <t>No</t>
        </is>
      </c>
      <c r="G412" t="inlineStr">
        <is>
          <t>1</t>
        </is>
      </c>
      <c r="H412" t="inlineStr">
        <is>
          <t>No</t>
        </is>
      </c>
      <c r="I412" t="inlineStr">
        <is>
          <t>No</t>
        </is>
      </c>
      <c r="J412" t="inlineStr">
        <is>
          <t>0</t>
        </is>
      </c>
      <c r="K412" t="inlineStr">
        <is>
          <t>Miłosz, Czesław.</t>
        </is>
      </c>
      <c r="L412" t="inlineStr">
        <is>
          <t>New York : Ecco Press, c1991.</t>
        </is>
      </c>
      <c r="M412" t="inlineStr">
        <is>
          <t>1991</t>
        </is>
      </c>
      <c r="N412" t="inlineStr">
        <is>
          <t>1st ed.</t>
        </is>
      </c>
      <c r="O412" t="inlineStr">
        <is>
          <t>eng</t>
        </is>
      </c>
      <c r="P412" t="inlineStr">
        <is>
          <t>nyu</t>
        </is>
      </c>
      <c r="R412" t="inlineStr">
        <is>
          <t xml:space="preserve">PG </t>
        </is>
      </c>
      <c r="S412" t="n">
        <v>3</v>
      </c>
      <c r="T412" t="n">
        <v>3</v>
      </c>
      <c r="U412" t="inlineStr">
        <is>
          <t>2000-11-02</t>
        </is>
      </c>
      <c r="V412" t="inlineStr">
        <is>
          <t>2000-11-02</t>
        </is>
      </c>
      <c r="W412" t="inlineStr">
        <is>
          <t>1992-02-27</t>
        </is>
      </c>
      <c r="X412" t="inlineStr">
        <is>
          <t>1992-02-27</t>
        </is>
      </c>
      <c r="Y412" t="n">
        <v>514</v>
      </c>
      <c r="Z412" t="n">
        <v>473</v>
      </c>
      <c r="AA412" t="n">
        <v>538</v>
      </c>
      <c r="AB412" t="n">
        <v>4</v>
      </c>
      <c r="AC412" t="n">
        <v>4</v>
      </c>
      <c r="AD412" t="n">
        <v>21</v>
      </c>
      <c r="AE412" t="n">
        <v>23</v>
      </c>
      <c r="AF412" t="n">
        <v>6</v>
      </c>
      <c r="AG412" t="n">
        <v>8</v>
      </c>
      <c r="AH412" t="n">
        <v>6</v>
      </c>
      <c r="AI412" t="n">
        <v>6</v>
      </c>
      <c r="AJ412" t="n">
        <v>11</v>
      </c>
      <c r="AK412" t="n">
        <v>11</v>
      </c>
      <c r="AL412" t="n">
        <v>3</v>
      </c>
      <c r="AM412" t="n">
        <v>3</v>
      </c>
      <c r="AN412" t="n">
        <v>0</v>
      </c>
      <c r="AO412" t="n">
        <v>0</v>
      </c>
      <c r="AP412" t="inlineStr">
        <is>
          <t>No</t>
        </is>
      </c>
      <c r="AQ412" t="inlineStr">
        <is>
          <t>Yes</t>
        </is>
      </c>
      <c r="AR412">
        <f>HYPERLINK("http://catalog.hathitrust.org/Record/002525326","HathiTrust Record")</f>
        <v/>
      </c>
      <c r="AS412">
        <f>HYPERLINK("https://creighton-primo.hosted.exlibrisgroup.com/primo-explore/search?tab=default_tab&amp;search_scope=EVERYTHING&amp;vid=01CRU&amp;lang=en_US&amp;offset=0&amp;query=any,contains,991001872989702656","Catalog Record")</f>
        <v/>
      </c>
      <c r="AT412">
        <f>HYPERLINK("http://www.worldcat.org/oclc/23650399","WorldCat Record")</f>
        <v/>
      </c>
      <c r="AU412" t="inlineStr">
        <is>
          <t>2908654827:eng</t>
        </is>
      </c>
      <c r="AV412" t="inlineStr">
        <is>
          <t>23650399</t>
        </is>
      </c>
      <c r="AW412" t="inlineStr">
        <is>
          <t>991001872989702656</t>
        </is>
      </c>
      <c r="AX412" t="inlineStr">
        <is>
          <t>991001872989702656</t>
        </is>
      </c>
      <c r="AY412" t="inlineStr">
        <is>
          <t>2271099840002656</t>
        </is>
      </c>
      <c r="AZ412" t="inlineStr">
        <is>
          <t>BOOK</t>
        </is>
      </c>
      <c r="BB412" t="inlineStr">
        <is>
          <t>9780880013178</t>
        </is>
      </c>
      <c r="BC412" t="inlineStr">
        <is>
          <t>32285000936970</t>
        </is>
      </c>
      <c r="BD412" t="inlineStr">
        <is>
          <t>893503765</t>
        </is>
      </c>
    </row>
    <row r="413">
      <c r="A413" t="inlineStr">
        <is>
          <t>No</t>
        </is>
      </c>
      <c r="B413" t="inlineStr">
        <is>
          <t>PG7158.M553 A25 1995</t>
        </is>
      </c>
      <c r="C413" t="inlineStr">
        <is>
          <t>0                      PG 7158000M  553                A  25          1995</t>
        </is>
      </c>
      <c r="D413" t="inlineStr">
        <is>
          <t>Facing the river : new poems / by Czesław Miłosz ; translated by the author and Robert Hass.</t>
        </is>
      </c>
      <c r="F413" t="inlineStr">
        <is>
          <t>No</t>
        </is>
      </c>
      <c r="G413" t="inlineStr">
        <is>
          <t>1</t>
        </is>
      </c>
      <c r="H413" t="inlineStr">
        <is>
          <t>No</t>
        </is>
      </c>
      <c r="I413" t="inlineStr">
        <is>
          <t>No</t>
        </is>
      </c>
      <c r="J413" t="inlineStr">
        <is>
          <t>0</t>
        </is>
      </c>
      <c r="K413" t="inlineStr">
        <is>
          <t>Miłosz, Czesław.</t>
        </is>
      </c>
      <c r="L413" t="inlineStr">
        <is>
          <t>Hopewell, N.J. : Ecco Press, c1995.</t>
        </is>
      </c>
      <c r="M413" t="inlineStr">
        <is>
          <t>1995</t>
        </is>
      </c>
      <c r="N413" t="inlineStr">
        <is>
          <t>1st ed.</t>
        </is>
      </c>
      <c r="O413" t="inlineStr">
        <is>
          <t>eng</t>
        </is>
      </c>
      <c r="P413" t="inlineStr">
        <is>
          <t>nju</t>
        </is>
      </c>
      <c r="R413" t="inlineStr">
        <is>
          <t xml:space="preserve">PG </t>
        </is>
      </c>
      <c r="S413" t="n">
        <v>2</v>
      </c>
      <c r="T413" t="n">
        <v>2</v>
      </c>
      <c r="U413" t="inlineStr">
        <is>
          <t>2007-09-08</t>
        </is>
      </c>
      <c r="V413" t="inlineStr">
        <is>
          <t>2007-09-08</t>
        </is>
      </c>
      <c r="W413" t="inlineStr">
        <is>
          <t>2000-03-23</t>
        </is>
      </c>
      <c r="X413" t="inlineStr">
        <is>
          <t>2000-03-23</t>
        </is>
      </c>
      <c r="Y413" t="n">
        <v>570</v>
      </c>
      <c r="Z413" t="n">
        <v>532</v>
      </c>
      <c r="AA413" t="n">
        <v>547</v>
      </c>
      <c r="AB413" t="n">
        <v>5</v>
      </c>
      <c r="AC413" t="n">
        <v>5</v>
      </c>
      <c r="AD413" t="n">
        <v>23</v>
      </c>
      <c r="AE413" t="n">
        <v>24</v>
      </c>
      <c r="AF413" t="n">
        <v>7</v>
      </c>
      <c r="AG413" t="n">
        <v>8</v>
      </c>
      <c r="AH413" t="n">
        <v>6</v>
      </c>
      <c r="AI413" t="n">
        <v>7</v>
      </c>
      <c r="AJ413" t="n">
        <v>12</v>
      </c>
      <c r="AK413" t="n">
        <v>12</v>
      </c>
      <c r="AL413" t="n">
        <v>4</v>
      </c>
      <c r="AM413" t="n">
        <v>4</v>
      </c>
      <c r="AN413" t="n">
        <v>0</v>
      </c>
      <c r="AO413" t="n">
        <v>0</v>
      </c>
      <c r="AP413" t="inlineStr">
        <is>
          <t>No</t>
        </is>
      </c>
      <c r="AQ413" t="inlineStr">
        <is>
          <t>Yes</t>
        </is>
      </c>
      <c r="AR413">
        <f>HYPERLINK("http://catalog.hathitrust.org/Record/002987473","HathiTrust Record")</f>
        <v/>
      </c>
      <c r="AS413">
        <f>HYPERLINK("https://creighton-primo.hosted.exlibrisgroup.com/primo-explore/search?tab=default_tab&amp;search_scope=EVERYTHING&amp;vid=01CRU&amp;lang=en_US&amp;offset=0&amp;query=any,contains,991002428759702656","Catalog Record")</f>
        <v/>
      </c>
      <c r="AT413">
        <f>HYPERLINK("http://www.worldcat.org/oclc/31657838","WorldCat Record")</f>
        <v/>
      </c>
      <c r="AU413" t="inlineStr">
        <is>
          <t>1059368213:eng</t>
        </is>
      </c>
      <c r="AV413" t="inlineStr">
        <is>
          <t>31657838</t>
        </is>
      </c>
      <c r="AW413" t="inlineStr">
        <is>
          <t>991002428759702656</t>
        </is>
      </c>
      <c r="AX413" t="inlineStr">
        <is>
          <t>991002428759702656</t>
        </is>
      </c>
      <c r="AY413" t="inlineStr">
        <is>
          <t>2269269780002656</t>
        </is>
      </c>
      <c r="AZ413" t="inlineStr">
        <is>
          <t>BOOK</t>
        </is>
      </c>
      <c r="BB413" t="inlineStr">
        <is>
          <t>9780880014045</t>
        </is>
      </c>
      <c r="BC413" t="inlineStr">
        <is>
          <t>32285003673612</t>
        </is>
      </c>
      <c r="BD413" t="inlineStr">
        <is>
          <t>893697770</t>
        </is>
      </c>
    </row>
    <row r="414">
      <c r="A414" t="inlineStr">
        <is>
          <t>No</t>
        </is>
      </c>
      <c r="B414" t="inlineStr">
        <is>
          <t>PG7158.M553 P5413 1998</t>
        </is>
      </c>
      <c r="C414" t="inlineStr">
        <is>
          <t>0                      PG 7158000M  553                P  5413        1998</t>
        </is>
      </c>
      <c r="D414" t="inlineStr">
        <is>
          <t>Road-side dog / Czeslaw Milosz ; translated by the author and Robert Hass.</t>
        </is>
      </c>
      <c r="F414" t="inlineStr">
        <is>
          <t>No</t>
        </is>
      </c>
      <c r="G414" t="inlineStr">
        <is>
          <t>1</t>
        </is>
      </c>
      <c r="H414" t="inlineStr">
        <is>
          <t>No</t>
        </is>
      </c>
      <c r="I414" t="inlineStr">
        <is>
          <t>No</t>
        </is>
      </c>
      <c r="J414" t="inlineStr">
        <is>
          <t>0</t>
        </is>
      </c>
      <c r="K414" t="inlineStr">
        <is>
          <t>Miłosz, Czesław.</t>
        </is>
      </c>
      <c r="L414" t="inlineStr">
        <is>
          <t>New York : Farrar, Straus and Giroux, c1998.</t>
        </is>
      </c>
      <c r="M414" t="inlineStr">
        <is>
          <t>1998</t>
        </is>
      </c>
      <c r="O414" t="inlineStr">
        <is>
          <t>eng</t>
        </is>
      </c>
      <c r="P414" t="inlineStr">
        <is>
          <t>nyu</t>
        </is>
      </c>
      <c r="R414" t="inlineStr">
        <is>
          <t xml:space="preserve">PG </t>
        </is>
      </c>
      <c r="S414" t="n">
        <v>3</v>
      </c>
      <c r="T414" t="n">
        <v>3</v>
      </c>
      <c r="U414" t="inlineStr">
        <is>
          <t>2010-04-19</t>
        </is>
      </c>
      <c r="V414" t="inlineStr">
        <is>
          <t>2010-04-19</t>
        </is>
      </c>
      <c r="W414" t="inlineStr">
        <is>
          <t>2000-03-20</t>
        </is>
      </c>
      <c r="X414" t="inlineStr">
        <is>
          <t>2000-03-20</t>
        </is>
      </c>
      <c r="Y414" t="n">
        <v>529</v>
      </c>
      <c r="Z414" t="n">
        <v>489</v>
      </c>
      <c r="AA414" t="n">
        <v>531</v>
      </c>
      <c r="AB414" t="n">
        <v>3</v>
      </c>
      <c r="AC414" t="n">
        <v>4</v>
      </c>
      <c r="AD414" t="n">
        <v>16</v>
      </c>
      <c r="AE414" t="n">
        <v>18</v>
      </c>
      <c r="AF414" t="n">
        <v>3</v>
      </c>
      <c r="AG414" t="n">
        <v>4</v>
      </c>
      <c r="AH414" t="n">
        <v>6</v>
      </c>
      <c r="AI414" t="n">
        <v>6</v>
      </c>
      <c r="AJ414" t="n">
        <v>12</v>
      </c>
      <c r="AK414" t="n">
        <v>13</v>
      </c>
      <c r="AL414" t="n">
        <v>0</v>
      </c>
      <c r="AM414" t="n">
        <v>1</v>
      </c>
      <c r="AN414" t="n">
        <v>0</v>
      </c>
      <c r="AO414" t="n">
        <v>0</v>
      </c>
      <c r="AP414" t="inlineStr">
        <is>
          <t>No</t>
        </is>
      </c>
      <c r="AQ414" t="inlineStr">
        <is>
          <t>No</t>
        </is>
      </c>
      <c r="AS414">
        <f>HYPERLINK("https://creighton-primo.hosted.exlibrisgroup.com/primo-explore/search?tab=default_tab&amp;search_scope=EVERYTHING&amp;vid=01CRU&amp;lang=en_US&amp;offset=0&amp;query=any,contains,991002917159702656","Catalog Record")</f>
        <v/>
      </c>
      <c r="AT414">
        <f>HYPERLINK("http://www.worldcat.org/oclc/38573677","WorldCat Record")</f>
        <v/>
      </c>
      <c r="AU414" t="inlineStr">
        <is>
          <t>10292810:eng</t>
        </is>
      </c>
      <c r="AV414" t="inlineStr">
        <is>
          <t>38573677</t>
        </is>
      </c>
      <c r="AW414" t="inlineStr">
        <is>
          <t>991002917159702656</t>
        </is>
      </c>
      <c r="AX414" t="inlineStr">
        <is>
          <t>991002917159702656</t>
        </is>
      </c>
      <c r="AY414" t="inlineStr">
        <is>
          <t>2268344210002656</t>
        </is>
      </c>
      <c r="AZ414" t="inlineStr">
        <is>
          <t>BOOK</t>
        </is>
      </c>
      <c r="BB414" t="inlineStr">
        <is>
          <t>9780374251291</t>
        </is>
      </c>
      <c r="BC414" t="inlineStr">
        <is>
          <t>32285003672242</t>
        </is>
      </c>
      <c r="BD414" t="inlineStr">
        <is>
          <t>893530634</t>
        </is>
      </c>
    </row>
    <row r="415">
      <c r="A415" t="inlineStr">
        <is>
          <t>No</t>
        </is>
      </c>
      <c r="B415" t="inlineStr">
        <is>
          <t>PG7158.M553 R612 1981</t>
        </is>
      </c>
      <c r="C415" t="inlineStr">
        <is>
          <t>0                      PG 7158000M  553                R  612         1981</t>
        </is>
      </c>
      <c r="D415" t="inlineStr">
        <is>
          <t>Native realm : a search for self-definition / Czesław Miłosz ; translated from the Polish by Catherine S. Leach.</t>
        </is>
      </c>
      <c r="F415" t="inlineStr">
        <is>
          <t>No</t>
        </is>
      </c>
      <c r="G415" t="inlineStr">
        <is>
          <t>1</t>
        </is>
      </c>
      <c r="H415" t="inlineStr">
        <is>
          <t>No</t>
        </is>
      </c>
      <c r="I415" t="inlineStr">
        <is>
          <t>No</t>
        </is>
      </c>
      <c r="J415" t="inlineStr">
        <is>
          <t>0</t>
        </is>
      </c>
      <c r="K415" t="inlineStr">
        <is>
          <t>Miłosz, Czesław.</t>
        </is>
      </c>
      <c r="L415" t="inlineStr">
        <is>
          <t>Berkeley : University of California Press, 1981, c1968.</t>
        </is>
      </c>
      <c r="M415" t="inlineStr">
        <is>
          <t>1981</t>
        </is>
      </c>
      <c r="O415" t="inlineStr">
        <is>
          <t>eng</t>
        </is>
      </c>
      <c r="P415" t="inlineStr">
        <is>
          <t>cau</t>
        </is>
      </c>
      <c r="R415" t="inlineStr">
        <is>
          <t xml:space="preserve">PG </t>
        </is>
      </c>
      <c r="S415" t="n">
        <v>4</v>
      </c>
      <c r="T415" t="n">
        <v>4</v>
      </c>
      <c r="U415" t="inlineStr">
        <is>
          <t>1998-09-24</t>
        </is>
      </c>
      <c r="V415" t="inlineStr">
        <is>
          <t>1998-09-24</t>
        </is>
      </c>
      <c r="W415" t="inlineStr">
        <is>
          <t>1993-04-28</t>
        </is>
      </c>
      <c r="X415" t="inlineStr">
        <is>
          <t>1993-04-28</t>
        </is>
      </c>
      <c r="Y415" t="n">
        <v>183</v>
      </c>
      <c r="Z415" t="n">
        <v>164</v>
      </c>
      <c r="AA415" t="n">
        <v>809</v>
      </c>
      <c r="AB415" t="n">
        <v>1</v>
      </c>
      <c r="AC415" t="n">
        <v>5</v>
      </c>
      <c r="AD415" t="n">
        <v>4</v>
      </c>
      <c r="AE415" t="n">
        <v>32</v>
      </c>
      <c r="AF415" t="n">
        <v>0</v>
      </c>
      <c r="AG415" t="n">
        <v>14</v>
      </c>
      <c r="AH415" t="n">
        <v>3</v>
      </c>
      <c r="AI415" t="n">
        <v>9</v>
      </c>
      <c r="AJ415" t="n">
        <v>3</v>
      </c>
      <c r="AK415" t="n">
        <v>15</v>
      </c>
      <c r="AL415" t="n">
        <v>0</v>
      </c>
      <c r="AM415" t="n">
        <v>2</v>
      </c>
      <c r="AN415" t="n">
        <v>0</v>
      </c>
      <c r="AO415" t="n">
        <v>0</v>
      </c>
      <c r="AP415" t="inlineStr">
        <is>
          <t>No</t>
        </is>
      </c>
      <c r="AQ415" t="inlineStr">
        <is>
          <t>No</t>
        </is>
      </c>
      <c r="AS415">
        <f>HYPERLINK("https://creighton-primo.hosted.exlibrisgroup.com/primo-explore/search?tab=default_tab&amp;search_scope=EVERYTHING&amp;vid=01CRU&amp;lang=en_US&amp;offset=0&amp;query=any,contains,991005200629702656","Catalog Record")</f>
        <v/>
      </c>
      <c r="AT415">
        <f>HYPERLINK("http://www.worldcat.org/oclc/8071381","WorldCat Record")</f>
        <v/>
      </c>
      <c r="AU415" t="inlineStr">
        <is>
          <t>502550:eng</t>
        </is>
      </c>
      <c r="AV415" t="inlineStr">
        <is>
          <t>8071381</t>
        </is>
      </c>
      <c r="AW415" t="inlineStr">
        <is>
          <t>991005200629702656</t>
        </is>
      </c>
      <c r="AX415" t="inlineStr">
        <is>
          <t>991005200629702656</t>
        </is>
      </c>
      <c r="AY415" t="inlineStr">
        <is>
          <t>2254829740002656</t>
        </is>
      </c>
      <c r="AZ415" t="inlineStr">
        <is>
          <t>BOOK</t>
        </is>
      </c>
      <c r="BB415" t="inlineStr">
        <is>
          <t>9780520044746</t>
        </is>
      </c>
      <c r="BC415" t="inlineStr">
        <is>
          <t>32285001649978</t>
        </is>
      </c>
      <c r="BD415" t="inlineStr">
        <is>
          <t>893795774</t>
        </is>
      </c>
    </row>
    <row r="416">
      <c r="A416" t="inlineStr">
        <is>
          <t>No</t>
        </is>
      </c>
      <c r="B416" t="inlineStr">
        <is>
          <t>PG7158.S4 D4</t>
        </is>
      </c>
      <c r="C416" t="inlineStr">
        <is>
          <t>0                      PG 7158000S  4                  D  4</t>
        </is>
      </c>
      <c r="D416" t="inlineStr">
        <is>
          <t>The deluge : an historical novel of Poland, Sweden, and Russia. A sequel to "With fire and sword" / by Henryk Sienkiewicz. Tr. from the Polish by Jeremiah Curtin.</t>
        </is>
      </c>
      <c r="E416" t="inlineStr">
        <is>
          <t>V.2</t>
        </is>
      </c>
      <c r="F416" t="inlineStr">
        <is>
          <t>Yes</t>
        </is>
      </c>
      <c r="G416" t="inlineStr">
        <is>
          <t>1</t>
        </is>
      </c>
      <c r="H416" t="inlineStr">
        <is>
          <t>No</t>
        </is>
      </c>
      <c r="I416" t="inlineStr">
        <is>
          <t>No</t>
        </is>
      </c>
      <c r="J416" t="inlineStr">
        <is>
          <t>0</t>
        </is>
      </c>
      <c r="K416" t="inlineStr">
        <is>
          <t>Sienkiewicz, Henryk, 1846-1916.</t>
        </is>
      </c>
      <c r="L416" t="inlineStr">
        <is>
          <t>Boston : Little, Brown and Company, 1891.</t>
        </is>
      </c>
      <c r="M416" t="inlineStr">
        <is>
          <t>1891</t>
        </is>
      </c>
      <c r="O416" t="inlineStr">
        <is>
          <t>eng</t>
        </is>
      </c>
      <c r="P416" t="inlineStr">
        <is>
          <t>mau</t>
        </is>
      </c>
      <c r="R416" t="inlineStr">
        <is>
          <t xml:space="preserve">PG </t>
        </is>
      </c>
      <c r="S416" t="n">
        <v>2</v>
      </c>
      <c r="T416" t="n">
        <v>2</v>
      </c>
      <c r="U416" t="inlineStr">
        <is>
          <t>1993-04-13</t>
        </is>
      </c>
      <c r="V416" t="inlineStr">
        <is>
          <t>1993-04-13</t>
        </is>
      </c>
      <c r="W416" t="inlineStr">
        <is>
          <t>1992-12-15</t>
        </is>
      </c>
      <c r="X416" t="inlineStr">
        <is>
          <t>1992-12-15</t>
        </is>
      </c>
      <c r="Y416" t="n">
        <v>160</v>
      </c>
      <c r="Z416" t="n">
        <v>158</v>
      </c>
      <c r="AA416" t="n">
        <v>516</v>
      </c>
      <c r="AB416" t="n">
        <v>2</v>
      </c>
      <c r="AC416" t="n">
        <v>4</v>
      </c>
      <c r="AD416" t="n">
        <v>8</v>
      </c>
      <c r="AE416" t="n">
        <v>25</v>
      </c>
      <c r="AF416" t="n">
        <v>2</v>
      </c>
      <c r="AG416" t="n">
        <v>7</v>
      </c>
      <c r="AH416" t="n">
        <v>1</v>
      </c>
      <c r="AI416" t="n">
        <v>4</v>
      </c>
      <c r="AJ416" t="n">
        <v>7</v>
      </c>
      <c r="AK416" t="n">
        <v>16</v>
      </c>
      <c r="AL416" t="n">
        <v>1</v>
      </c>
      <c r="AM416" t="n">
        <v>3</v>
      </c>
      <c r="AN416" t="n">
        <v>0</v>
      </c>
      <c r="AO416" t="n">
        <v>0</v>
      </c>
      <c r="AP416" t="inlineStr">
        <is>
          <t>Yes</t>
        </is>
      </c>
      <c r="AQ416" t="inlineStr">
        <is>
          <t>No</t>
        </is>
      </c>
      <c r="AR416">
        <f>HYPERLINK("http://catalog.hathitrust.org/Record/000966048","HathiTrust Record")</f>
        <v/>
      </c>
      <c r="AS416">
        <f>HYPERLINK("https://creighton-primo.hosted.exlibrisgroup.com/primo-explore/search?tab=default_tab&amp;search_scope=EVERYTHING&amp;vid=01CRU&amp;lang=en_US&amp;offset=0&amp;query=any,contains,991004834489702656","Catalog Record")</f>
        <v/>
      </c>
      <c r="AT416">
        <f>HYPERLINK("http://www.worldcat.org/oclc/5435164","WorldCat Record")</f>
        <v/>
      </c>
      <c r="AU416" t="inlineStr">
        <is>
          <t>3372122820:eng</t>
        </is>
      </c>
      <c r="AV416" t="inlineStr">
        <is>
          <t>5435164</t>
        </is>
      </c>
      <c r="AW416" t="inlineStr">
        <is>
          <t>991004834489702656</t>
        </is>
      </c>
      <c r="AX416" t="inlineStr">
        <is>
          <t>991004834489702656</t>
        </is>
      </c>
      <c r="AY416" t="inlineStr">
        <is>
          <t>2260911980002656</t>
        </is>
      </c>
      <c r="AZ416" t="inlineStr">
        <is>
          <t>BOOK</t>
        </is>
      </c>
      <c r="BC416" t="inlineStr">
        <is>
          <t>32285001442044</t>
        </is>
      </c>
      <c r="BD416" t="inlineStr">
        <is>
          <t>893706895</t>
        </is>
      </c>
    </row>
    <row r="417">
      <c r="A417" t="inlineStr">
        <is>
          <t>No</t>
        </is>
      </c>
      <c r="B417" t="inlineStr">
        <is>
          <t>PG7158.S4 D4</t>
        </is>
      </c>
      <c r="C417" t="inlineStr">
        <is>
          <t>0                      PG 7158000S  4                  D  4</t>
        </is>
      </c>
      <c r="D417" t="inlineStr">
        <is>
          <t>The deluge : an historical novel of Poland, Sweden, and Russia. A sequel to "With fire and sword" / by Henryk Sienkiewicz. Tr. from the Polish by Jeremiah Curtin.</t>
        </is>
      </c>
      <c r="E417" t="inlineStr">
        <is>
          <t>V.1</t>
        </is>
      </c>
      <c r="F417" t="inlineStr">
        <is>
          <t>Yes</t>
        </is>
      </c>
      <c r="G417" t="inlineStr">
        <is>
          <t>1</t>
        </is>
      </c>
      <c r="H417" t="inlineStr">
        <is>
          <t>No</t>
        </is>
      </c>
      <c r="I417" t="inlineStr">
        <is>
          <t>No</t>
        </is>
      </c>
      <c r="J417" t="inlineStr">
        <is>
          <t>0</t>
        </is>
      </c>
      <c r="K417" t="inlineStr">
        <is>
          <t>Sienkiewicz, Henryk, 1846-1916.</t>
        </is>
      </c>
      <c r="L417" t="inlineStr">
        <is>
          <t>Boston : Little, Brown and Company, 1891.</t>
        </is>
      </c>
      <c r="M417" t="inlineStr">
        <is>
          <t>1891</t>
        </is>
      </c>
      <c r="O417" t="inlineStr">
        <is>
          <t>eng</t>
        </is>
      </c>
      <c r="P417" t="inlineStr">
        <is>
          <t>mau</t>
        </is>
      </c>
      <c r="R417" t="inlineStr">
        <is>
          <t xml:space="preserve">PG </t>
        </is>
      </c>
      <c r="S417" t="n">
        <v>0</v>
      </c>
      <c r="T417" t="n">
        <v>2</v>
      </c>
      <c r="V417" t="inlineStr">
        <is>
          <t>1993-04-13</t>
        </is>
      </c>
      <c r="W417" t="inlineStr">
        <is>
          <t>1992-11-02</t>
        </is>
      </c>
      <c r="X417" t="inlineStr">
        <is>
          <t>1992-12-15</t>
        </is>
      </c>
      <c r="Y417" t="n">
        <v>160</v>
      </c>
      <c r="Z417" t="n">
        <v>158</v>
      </c>
      <c r="AA417" t="n">
        <v>516</v>
      </c>
      <c r="AB417" t="n">
        <v>2</v>
      </c>
      <c r="AC417" t="n">
        <v>4</v>
      </c>
      <c r="AD417" t="n">
        <v>8</v>
      </c>
      <c r="AE417" t="n">
        <v>25</v>
      </c>
      <c r="AF417" t="n">
        <v>2</v>
      </c>
      <c r="AG417" t="n">
        <v>7</v>
      </c>
      <c r="AH417" t="n">
        <v>1</v>
      </c>
      <c r="AI417" t="n">
        <v>4</v>
      </c>
      <c r="AJ417" t="n">
        <v>7</v>
      </c>
      <c r="AK417" t="n">
        <v>16</v>
      </c>
      <c r="AL417" t="n">
        <v>1</v>
      </c>
      <c r="AM417" t="n">
        <v>3</v>
      </c>
      <c r="AN417" t="n">
        <v>0</v>
      </c>
      <c r="AO417" t="n">
        <v>0</v>
      </c>
      <c r="AP417" t="inlineStr">
        <is>
          <t>Yes</t>
        </is>
      </c>
      <c r="AQ417" t="inlineStr">
        <is>
          <t>No</t>
        </is>
      </c>
      <c r="AR417">
        <f>HYPERLINK("http://catalog.hathitrust.org/Record/000966048","HathiTrust Record")</f>
        <v/>
      </c>
      <c r="AS417">
        <f>HYPERLINK("https://creighton-primo.hosted.exlibrisgroup.com/primo-explore/search?tab=default_tab&amp;search_scope=EVERYTHING&amp;vid=01CRU&amp;lang=en_US&amp;offset=0&amp;query=any,contains,991004834489702656","Catalog Record")</f>
        <v/>
      </c>
      <c r="AT417">
        <f>HYPERLINK("http://www.worldcat.org/oclc/5435164","WorldCat Record")</f>
        <v/>
      </c>
      <c r="AU417" t="inlineStr">
        <is>
          <t>3372122820:eng</t>
        </is>
      </c>
      <c r="AV417" t="inlineStr">
        <is>
          <t>5435164</t>
        </is>
      </c>
      <c r="AW417" t="inlineStr">
        <is>
          <t>991004834489702656</t>
        </is>
      </c>
      <c r="AX417" t="inlineStr">
        <is>
          <t>991004834489702656</t>
        </is>
      </c>
      <c r="AY417" t="inlineStr">
        <is>
          <t>2260911980002656</t>
        </is>
      </c>
      <c r="AZ417" t="inlineStr">
        <is>
          <t>BOOK</t>
        </is>
      </c>
      <c r="BC417" t="inlineStr">
        <is>
          <t>32285001379584</t>
        </is>
      </c>
      <c r="BD417" t="inlineStr">
        <is>
          <t>893713118</t>
        </is>
      </c>
    </row>
    <row r="418">
      <c r="A418" t="inlineStr">
        <is>
          <t>No</t>
        </is>
      </c>
      <c r="B418" t="inlineStr">
        <is>
          <t>PG7158.S4 K6</t>
        </is>
      </c>
      <c r="C418" t="inlineStr">
        <is>
          <t>0                      PG 7158000S  4                  K  6</t>
        </is>
      </c>
      <c r="D418" t="inlineStr">
        <is>
          <t>The knights of the cross / by Henryk Sienkiewicz ; authorized and unabridged translation from the Polish, by Jeremiah Curtin.</t>
        </is>
      </c>
      <c r="F418" t="inlineStr">
        <is>
          <t>No</t>
        </is>
      </c>
      <c r="G418" t="inlineStr">
        <is>
          <t>1</t>
        </is>
      </c>
      <c r="H418" t="inlineStr">
        <is>
          <t>No</t>
        </is>
      </c>
      <c r="I418" t="inlineStr">
        <is>
          <t>No</t>
        </is>
      </c>
      <c r="J418" t="inlineStr">
        <is>
          <t>0</t>
        </is>
      </c>
      <c r="K418" t="inlineStr">
        <is>
          <t>Sienkiewicz, Henryk, 1846-1916.</t>
        </is>
      </c>
      <c r="L418" t="inlineStr">
        <is>
          <t>Boston : Little, Brown, and Company, 1918, c1900.</t>
        </is>
      </c>
      <c r="M418" t="inlineStr">
        <is>
          <t>1900</t>
        </is>
      </c>
      <c r="O418" t="inlineStr">
        <is>
          <t>eng</t>
        </is>
      </c>
      <c r="P418" t="inlineStr">
        <is>
          <t>mau</t>
        </is>
      </c>
      <c r="R418" t="inlineStr">
        <is>
          <t xml:space="preserve">PG </t>
        </is>
      </c>
      <c r="S418" t="n">
        <v>1</v>
      </c>
      <c r="T418" t="n">
        <v>1</v>
      </c>
      <c r="U418" t="inlineStr">
        <is>
          <t>1993-10-27</t>
        </is>
      </c>
      <c r="V418" t="inlineStr">
        <is>
          <t>1993-10-27</t>
        </is>
      </c>
      <c r="W418" t="inlineStr">
        <is>
          <t>1993-10-27</t>
        </is>
      </c>
      <c r="X418" t="inlineStr">
        <is>
          <t>1993-10-27</t>
        </is>
      </c>
      <c r="Y418" t="n">
        <v>210</v>
      </c>
      <c r="Z418" t="n">
        <v>205</v>
      </c>
      <c r="AA418" t="n">
        <v>605</v>
      </c>
      <c r="AB418" t="n">
        <v>2</v>
      </c>
      <c r="AC418" t="n">
        <v>4</v>
      </c>
      <c r="AD418" t="n">
        <v>13</v>
      </c>
      <c r="AE418" t="n">
        <v>22</v>
      </c>
      <c r="AF418" t="n">
        <v>3</v>
      </c>
      <c r="AG418" t="n">
        <v>4</v>
      </c>
      <c r="AH418" t="n">
        <v>2</v>
      </c>
      <c r="AI418" t="n">
        <v>6</v>
      </c>
      <c r="AJ418" t="n">
        <v>11</v>
      </c>
      <c r="AK418" t="n">
        <v>17</v>
      </c>
      <c r="AL418" t="n">
        <v>1</v>
      </c>
      <c r="AM418" t="n">
        <v>2</v>
      </c>
      <c r="AN418" t="n">
        <v>0</v>
      </c>
      <c r="AO418" t="n">
        <v>0</v>
      </c>
      <c r="AP418" t="inlineStr">
        <is>
          <t>Yes</t>
        </is>
      </c>
      <c r="AQ418" t="inlineStr">
        <is>
          <t>No</t>
        </is>
      </c>
      <c r="AR418">
        <f>HYPERLINK("http://catalog.hathitrust.org/Record/007692094","HathiTrust Record")</f>
        <v/>
      </c>
      <c r="AS418">
        <f>HYPERLINK("https://creighton-primo.hosted.exlibrisgroup.com/primo-explore/search?tab=default_tab&amp;search_scope=EVERYTHING&amp;vid=01CRU&amp;lang=en_US&amp;offset=0&amp;query=any,contains,991003924439702656","Catalog Record")</f>
        <v/>
      </c>
      <c r="AT418">
        <f>HYPERLINK("http://www.worldcat.org/oclc/1879030","WorldCat Record")</f>
        <v/>
      </c>
      <c r="AU418" t="inlineStr">
        <is>
          <t>2070551426:eng</t>
        </is>
      </c>
      <c r="AV418" t="inlineStr">
        <is>
          <t>1879030</t>
        </is>
      </c>
      <c r="AW418" t="inlineStr">
        <is>
          <t>991003924439702656</t>
        </is>
      </c>
      <c r="AX418" t="inlineStr">
        <is>
          <t>991003924439702656</t>
        </is>
      </c>
      <c r="AY418" t="inlineStr">
        <is>
          <t>2260663990002656</t>
        </is>
      </c>
      <c r="AZ418" t="inlineStr">
        <is>
          <t>BOOK</t>
        </is>
      </c>
      <c r="BC418" t="inlineStr">
        <is>
          <t>32285001795185</t>
        </is>
      </c>
      <c r="BD418" t="inlineStr">
        <is>
          <t>893417003</t>
        </is>
      </c>
    </row>
    <row r="419">
      <c r="A419" t="inlineStr">
        <is>
          <t>No</t>
        </is>
      </c>
      <c r="B419" t="inlineStr">
        <is>
          <t>PG7158.S4 Q8 1925</t>
        </is>
      </c>
      <c r="C419" t="inlineStr">
        <is>
          <t>0                      PG 7158000S  4                  Q  8           1925</t>
        </is>
      </c>
      <c r="D419" t="inlineStr">
        <is>
          <t>Quo vadis : a narrative of the time of Nero / by Henryk Sienkiewicz ; translated from the Polish by Jeremiah Curtin.</t>
        </is>
      </c>
      <c r="F419" t="inlineStr">
        <is>
          <t>No</t>
        </is>
      </c>
      <c r="G419" t="inlineStr">
        <is>
          <t>1</t>
        </is>
      </c>
      <c r="H419" t="inlineStr">
        <is>
          <t>No</t>
        </is>
      </c>
      <c r="I419" t="inlineStr">
        <is>
          <t>Yes</t>
        </is>
      </c>
      <c r="J419" t="inlineStr">
        <is>
          <t>0</t>
        </is>
      </c>
      <c r="K419" t="inlineStr">
        <is>
          <t>Sienkiewicz, Henryk, 1846-1916.</t>
        </is>
      </c>
      <c r="L419" t="inlineStr">
        <is>
          <t>New York : Book League of America, [c1925]</t>
        </is>
      </c>
      <c r="M419" t="inlineStr">
        <is>
          <t>1925</t>
        </is>
      </c>
      <c r="O419" t="inlineStr">
        <is>
          <t>eng</t>
        </is>
      </c>
      <c r="P419" t="inlineStr">
        <is>
          <t>nyu</t>
        </is>
      </c>
      <c r="R419" t="inlineStr">
        <is>
          <t xml:space="preserve">PG </t>
        </is>
      </c>
      <c r="S419" t="n">
        <v>1</v>
      </c>
      <c r="T419" t="n">
        <v>1</v>
      </c>
      <c r="U419" t="inlineStr">
        <is>
          <t>2008-09-12</t>
        </is>
      </c>
      <c r="V419" t="inlineStr">
        <is>
          <t>2008-09-12</t>
        </is>
      </c>
      <c r="W419" t="inlineStr">
        <is>
          <t>2007-02-13</t>
        </is>
      </c>
      <c r="X419" t="inlineStr">
        <is>
          <t>2007-02-13</t>
        </is>
      </c>
      <c r="Y419" t="n">
        <v>154</v>
      </c>
      <c r="Z419" t="n">
        <v>143</v>
      </c>
      <c r="AA419" t="n">
        <v>2905</v>
      </c>
      <c r="AB419" t="n">
        <v>1</v>
      </c>
      <c r="AC419" t="n">
        <v>28</v>
      </c>
      <c r="AD419" t="n">
        <v>1</v>
      </c>
      <c r="AE419" t="n">
        <v>56</v>
      </c>
      <c r="AF419" t="n">
        <v>0</v>
      </c>
      <c r="AG419" t="n">
        <v>23</v>
      </c>
      <c r="AH419" t="n">
        <v>0</v>
      </c>
      <c r="AI419" t="n">
        <v>10</v>
      </c>
      <c r="AJ419" t="n">
        <v>1</v>
      </c>
      <c r="AK419" t="n">
        <v>26</v>
      </c>
      <c r="AL419" t="n">
        <v>0</v>
      </c>
      <c r="AM419" t="n">
        <v>9</v>
      </c>
      <c r="AN419" t="n">
        <v>0</v>
      </c>
      <c r="AO419" t="n">
        <v>0</v>
      </c>
      <c r="AP419" t="inlineStr">
        <is>
          <t>No</t>
        </is>
      </c>
      <c r="AQ419" t="inlineStr">
        <is>
          <t>No</t>
        </is>
      </c>
      <c r="AS419">
        <f>HYPERLINK("https://creighton-primo.hosted.exlibrisgroup.com/primo-explore/search?tab=default_tab&amp;search_scope=EVERYTHING&amp;vid=01CRU&amp;lang=en_US&amp;offset=0&amp;query=any,contains,991005039409702656","Catalog Record")</f>
        <v/>
      </c>
      <c r="AT419">
        <f>HYPERLINK("http://www.worldcat.org/oclc/411883","WorldCat Record")</f>
        <v/>
      </c>
      <c r="AU419" t="inlineStr">
        <is>
          <t>324987:eng</t>
        </is>
      </c>
      <c r="AV419" t="inlineStr">
        <is>
          <t>411883</t>
        </is>
      </c>
      <c r="AW419" t="inlineStr">
        <is>
          <t>991005039409702656</t>
        </is>
      </c>
      <c r="AX419" t="inlineStr">
        <is>
          <t>991005039409702656</t>
        </is>
      </c>
      <c r="AY419" t="inlineStr">
        <is>
          <t>2264648550002656</t>
        </is>
      </c>
      <c r="AZ419" t="inlineStr">
        <is>
          <t>BOOK</t>
        </is>
      </c>
      <c r="BC419" t="inlineStr">
        <is>
          <t>32285003221941</t>
        </is>
      </c>
      <c r="BD419" t="inlineStr">
        <is>
          <t>893613041</t>
        </is>
      </c>
    </row>
    <row r="420">
      <c r="A420" t="inlineStr">
        <is>
          <t>No</t>
        </is>
      </c>
      <c r="B420" t="inlineStr">
        <is>
          <t>PG7169 .O4 A264 2003</t>
        </is>
      </c>
      <c r="C420" t="inlineStr">
        <is>
          <t>0                      PG 7169000O  4                  A  264         2003</t>
        </is>
      </c>
      <c r="D420" t="inlineStr">
        <is>
          <t>The Poetry of John Paul II : Roman triptych, meditations / translated by Jerzy Peterkiewicz.</t>
        </is>
      </c>
      <c r="F420" t="inlineStr">
        <is>
          <t>No</t>
        </is>
      </c>
      <c r="G420" t="inlineStr">
        <is>
          <t>1</t>
        </is>
      </c>
      <c r="H420" t="inlineStr">
        <is>
          <t>No</t>
        </is>
      </c>
      <c r="I420" t="inlineStr">
        <is>
          <t>No</t>
        </is>
      </c>
      <c r="J420" t="inlineStr">
        <is>
          <t>0</t>
        </is>
      </c>
      <c r="K420" t="inlineStr">
        <is>
          <t>John Paul II, Pope, 1920-2005.</t>
        </is>
      </c>
      <c r="L420" t="inlineStr">
        <is>
          <t>Washington, D.C. : USCCB Publishing, 2003.</t>
        </is>
      </c>
      <c r="M420" t="inlineStr">
        <is>
          <t>2003</t>
        </is>
      </c>
      <c r="N420" t="inlineStr">
        <is>
          <t>Limited 1st ed.</t>
        </is>
      </c>
      <c r="O420" t="inlineStr">
        <is>
          <t>eng</t>
        </is>
      </c>
      <c r="P420" t="inlineStr">
        <is>
          <t>dcu</t>
        </is>
      </c>
      <c r="R420" t="inlineStr">
        <is>
          <t xml:space="preserve">PG </t>
        </is>
      </c>
      <c r="S420" t="n">
        <v>1</v>
      </c>
      <c r="T420" t="n">
        <v>1</v>
      </c>
      <c r="U420" t="inlineStr">
        <is>
          <t>2003-11-13</t>
        </is>
      </c>
      <c r="V420" t="inlineStr">
        <is>
          <t>2003-11-13</t>
        </is>
      </c>
      <c r="W420" t="inlineStr">
        <is>
          <t>2003-11-13</t>
        </is>
      </c>
      <c r="X420" t="inlineStr">
        <is>
          <t>2003-11-13</t>
        </is>
      </c>
      <c r="Y420" t="n">
        <v>236</v>
      </c>
      <c r="Z420" t="n">
        <v>221</v>
      </c>
      <c r="AA420" t="n">
        <v>228</v>
      </c>
      <c r="AB420" t="n">
        <v>3</v>
      </c>
      <c r="AC420" t="n">
        <v>3</v>
      </c>
      <c r="AD420" t="n">
        <v>20</v>
      </c>
      <c r="AE420" t="n">
        <v>20</v>
      </c>
      <c r="AF420" t="n">
        <v>5</v>
      </c>
      <c r="AG420" t="n">
        <v>5</v>
      </c>
      <c r="AH420" t="n">
        <v>6</v>
      </c>
      <c r="AI420" t="n">
        <v>6</v>
      </c>
      <c r="AJ420" t="n">
        <v>14</v>
      </c>
      <c r="AK420" t="n">
        <v>14</v>
      </c>
      <c r="AL420" t="n">
        <v>0</v>
      </c>
      <c r="AM420" t="n">
        <v>0</v>
      </c>
      <c r="AN420" t="n">
        <v>0</v>
      </c>
      <c r="AO420" t="n">
        <v>0</v>
      </c>
      <c r="AP420" t="inlineStr">
        <is>
          <t>No</t>
        </is>
      </c>
      <c r="AQ420" t="inlineStr">
        <is>
          <t>Yes</t>
        </is>
      </c>
      <c r="AR420">
        <f>HYPERLINK("http://catalog.hathitrust.org/Record/004969118","HathiTrust Record")</f>
        <v/>
      </c>
      <c r="AS420">
        <f>HYPERLINK("https://creighton-primo.hosted.exlibrisgroup.com/primo-explore/search?tab=default_tab&amp;search_scope=EVERYTHING&amp;vid=01CRU&amp;lang=en_US&amp;offset=0&amp;query=any,contains,991004182119702656","Catalog Record")</f>
        <v/>
      </c>
      <c r="AT420">
        <f>HYPERLINK("http://www.worldcat.org/oclc/61151239","WorldCat Record")</f>
        <v/>
      </c>
      <c r="AU420" t="inlineStr">
        <is>
          <t>4061494659:eng</t>
        </is>
      </c>
      <c r="AV420" t="inlineStr">
        <is>
          <t>61151239</t>
        </is>
      </c>
      <c r="AW420" t="inlineStr">
        <is>
          <t>991004182119702656</t>
        </is>
      </c>
      <c r="AX420" t="inlineStr">
        <is>
          <t>991004182119702656</t>
        </is>
      </c>
      <c r="AY420" t="inlineStr">
        <is>
          <t>2268202720002656</t>
        </is>
      </c>
      <c r="AZ420" t="inlineStr">
        <is>
          <t>BOOK</t>
        </is>
      </c>
      <c r="BB420" t="inlineStr">
        <is>
          <t>9781574555561</t>
        </is>
      </c>
      <c r="BC420" t="inlineStr">
        <is>
          <t>32285004797337</t>
        </is>
      </c>
      <c r="BD420" t="inlineStr">
        <is>
          <t>893624445</t>
        </is>
      </c>
    </row>
    <row r="421">
      <c r="A421" t="inlineStr">
        <is>
          <t>No</t>
        </is>
      </c>
      <c r="B421" t="inlineStr">
        <is>
          <t>PG7172 .R65</t>
        </is>
      </c>
      <c r="C421" t="inlineStr">
        <is>
          <t>0                      PG 7172000R  65</t>
        </is>
      </c>
      <c r="D421" t="inlineStr">
        <is>
          <t>The elephant / Slawomir Mrozek ; translated from the Polish by Konrad Syrop ; illustrated by Daniel Mroz.</t>
        </is>
      </c>
      <c r="F421" t="inlineStr">
        <is>
          <t>No</t>
        </is>
      </c>
      <c r="G421" t="inlineStr">
        <is>
          <t>1</t>
        </is>
      </c>
      <c r="H421" t="inlineStr">
        <is>
          <t>No</t>
        </is>
      </c>
      <c r="I421" t="inlineStr">
        <is>
          <t>No</t>
        </is>
      </c>
      <c r="J421" t="inlineStr">
        <is>
          <t>0</t>
        </is>
      </c>
      <c r="K421" t="inlineStr">
        <is>
          <t>Mrożek, Sławomir.</t>
        </is>
      </c>
      <c r="L421" t="inlineStr">
        <is>
          <t>Westport, Conn. : Greenwood Press, 1975, c1962.</t>
        </is>
      </c>
      <c r="M421" t="inlineStr">
        <is>
          <t>1975</t>
        </is>
      </c>
      <c r="O421" t="inlineStr">
        <is>
          <t>eng</t>
        </is>
      </c>
      <c r="P421" t="inlineStr">
        <is>
          <t>ctu</t>
        </is>
      </c>
      <c r="R421" t="inlineStr">
        <is>
          <t xml:space="preserve">PG </t>
        </is>
      </c>
      <c r="S421" t="n">
        <v>1</v>
      </c>
      <c r="T421" t="n">
        <v>1</v>
      </c>
      <c r="U421" t="inlineStr">
        <is>
          <t>2000-11-02</t>
        </is>
      </c>
      <c r="V421" t="inlineStr">
        <is>
          <t>2000-11-02</t>
        </is>
      </c>
      <c r="W421" t="inlineStr">
        <is>
          <t>1997-09-11</t>
        </is>
      </c>
      <c r="X421" t="inlineStr">
        <is>
          <t>1997-09-11</t>
        </is>
      </c>
      <c r="Y421" t="n">
        <v>76</v>
      </c>
      <c r="Z421" t="n">
        <v>63</v>
      </c>
      <c r="AA421" t="n">
        <v>442</v>
      </c>
      <c r="AB421" t="n">
        <v>1</v>
      </c>
      <c r="AC421" t="n">
        <v>5</v>
      </c>
      <c r="AD421" t="n">
        <v>3</v>
      </c>
      <c r="AE421" t="n">
        <v>17</v>
      </c>
      <c r="AF421" t="n">
        <v>0</v>
      </c>
      <c r="AG421" t="n">
        <v>5</v>
      </c>
      <c r="AH421" t="n">
        <v>2</v>
      </c>
      <c r="AI421" t="n">
        <v>6</v>
      </c>
      <c r="AJ421" t="n">
        <v>2</v>
      </c>
      <c r="AK421" t="n">
        <v>10</v>
      </c>
      <c r="AL421" t="n">
        <v>0</v>
      </c>
      <c r="AM421" t="n">
        <v>3</v>
      </c>
      <c r="AN421" t="n">
        <v>0</v>
      </c>
      <c r="AO421" t="n">
        <v>0</v>
      </c>
      <c r="AP421" t="inlineStr">
        <is>
          <t>No</t>
        </is>
      </c>
      <c r="AQ421" t="inlineStr">
        <is>
          <t>Yes</t>
        </is>
      </c>
      <c r="AR421">
        <f>HYPERLINK("http://catalog.hathitrust.org/Record/102062954","HathiTrust Record")</f>
        <v/>
      </c>
      <c r="AS421">
        <f>HYPERLINK("https://creighton-primo.hosted.exlibrisgroup.com/primo-explore/search?tab=default_tab&amp;search_scope=EVERYTHING&amp;vid=01CRU&amp;lang=en_US&amp;offset=0&amp;query=any,contains,991003788079702656","Catalog Record")</f>
        <v/>
      </c>
      <c r="AT421">
        <f>HYPERLINK("http://www.worldcat.org/oclc/1504743","WorldCat Record")</f>
        <v/>
      </c>
      <c r="AU421" t="inlineStr">
        <is>
          <t>4921177654:eng</t>
        </is>
      </c>
      <c r="AV421" t="inlineStr">
        <is>
          <t>1504743</t>
        </is>
      </c>
      <c r="AW421" t="inlineStr">
        <is>
          <t>991003788079702656</t>
        </is>
      </c>
      <c r="AX421" t="inlineStr">
        <is>
          <t>991003788079702656</t>
        </is>
      </c>
      <c r="AY421" t="inlineStr">
        <is>
          <t>2262327870002656</t>
        </is>
      </c>
      <c r="AZ421" t="inlineStr">
        <is>
          <t>BOOK</t>
        </is>
      </c>
      <c r="BB421" t="inlineStr">
        <is>
          <t>9780837181820</t>
        </is>
      </c>
      <c r="BC421" t="inlineStr">
        <is>
          <t>32285003221974</t>
        </is>
      </c>
      <c r="BD421" t="inlineStr">
        <is>
          <t>893240608</t>
        </is>
      </c>
    </row>
    <row r="422">
      <c r="A422" t="inlineStr">
        <is>
          <t>No</t>
        </is>
      </c>
      <c r="B422" t="inlineStr">
        <is>
          <t>PG7178.Z39 Z2513 1993</t>
        </is>
      </c>
      <c r="C422" t="inlineStr">
        <is>
          <t>0                      PG 7178000Z  39                 Z  2513        1993</t>
        </is>
      </c>
      <c r="D422" t="inlineStr">
        <is>
          <t>Annihilation : a novel / Piotr Szewc ; translated by Ewa Hryniewicz-Yarbrough.</t>
        </is>
      </c>
      <c r="F422" t="inlineStr">
        <is>
          <t>No</t>
        </is>
      </c>
      <c r="G422" t="inlineStr">
        <is>
          <t>1</t>
        </is>
      </c>
      <c r="H422" t="inlineStr">
        <is>
          <t>No</t>
        </is>
      </c>
      <c r="I422" t="inlineStr">
        <is>
          <t>No</t>
        </is>
      </c>
      <c r="J422" t="inlineStr">
        <is>
          <t>0</t>
        </is>
      </c>
      <c r="K422" t="inlineStr">
        <is>
          <t>Szewc, Piotr, 1961-</t>
        </is>
      </c>
      <c r="L422" t="inlineStr">
        <is>
          <t>Normal, Ill. : Dalkey Archive Press, c1993.</t>
        </is>
      </c>
      <c r="M422" t="inlineStr">
        <is>
          <t>1993</t>
        </is>
      </c>
      <c r="N422" t="inlineStr">
        <is>
          <t>1st ed.</t>
        </is>
      </c>
      <c r="O422" t="inlineStr">
        <is>
          <t>eng</t>
        </is>
      </c>
      <c r="P422" t="inlineStr">
        <is>
          <t>ilu</t>
        </is>
      </c>
      <c r="R422" t="inlineStr">
        <is>
          <t xml:space="preserve">PG </t>
        </is>
      </c>
      <c r="S422" t="n">
        <v>1</v>
      </c>
      <c r="T422" t="n">
        <v>1</v>
      </c>
      <c r="U422" t="inlineStr">
        <is>
          <t>2005-04-04</t>
        </is>
      </c>
      <c r="V422" t="inlineStr">
        <is>
          <t>2005-04-04</t>
        </is>
      </c>
      <c r="W422" t="inlineStr">
        <is>
          <t>2005-04-04</t>
        </is>
      </c>
      <c r="X422" t="inlineStr">
        <is>
          <t>2005-04-04</t>
        </is>
      </c>
      <c r="Y422" t="n">
        <v>299</v>
      </c>
      <c r="Z422" t="n">
        <v>280</v>
      </c>
      <c r="AA422" t="n">
        <v>320</v>
      </c>
      <c r="AB422" t="n">
        <v>2</v>
      </c>
      <c r="AC422" t="n">
        <v>2</v>
      </c>
      <c r="AD422" t="n">
        <v>13</v>
      </c>
      <c r="AE422" t="n">
        <v>17</v>
      </c>
      <c r="AF422" t="n">
        <v>5</v>
      </c>
      <c r="AG422" t="n">
        <v>6</v>
      </c>
      <c r="AH422" t="n">
        <v>3</v>
      </c>
      <c r="AI422" t="n">
        <v>3</v>
      </c>
      <c r="AJ422" t="n">
        <v>8</v>
      </c>
      <c r="AK422" t="n">
        <v>11</v>
      </c>
      <c r="AL422" t="n">
        <v>1</v>
      </c>
      <c r="AM422" t="n">
        <v>1</v>
      </c>
      <c r="AN422" t="n">
        <v>0</v>
      </c>
      <c r="AO422" t="n">
        <v>0</v>
      </c>
      <c r="AP422" t="inlineStr">
        <is>
          <t>No</t>
        </is>
      </c>
      <c r="AQ422" t="inlineStr">
        <is>
          <t>Yes</t>
        </is>
      </c>
      <c r="AR422">
        <f>HYPERLINK("http://catalog.hathitrust.org/Record/004530367","HathiTrust Record")</f>
        <v/>
      </c>
      <c r="AS422">
        <f>HYPERLINK("https://creighton-primo.hosted.exlibrisgroup.com/primo-explore/search?tab=default_tab&amp;search_scope=EVERYTHING&amp;vid=01CRU&amp;lang=en_US&amp;offset=0&amp;query=any,contains,991004505319702656","Catalog Record")</f>
        <v/>
      </c>
      <c r="AT422">
        <f>HYPERLINK("http://www.worldcat.org/oclc/27811584","WorldCat Record")</f>
        <v/>
      </c>
      <c r="AU422" t="inlineStr">
        <is>
          <t>389833:eng</t>
        </is>
      </c>
      <c r="AV422" t="inlineStr">
        <is>
          <t>27811584</t>
        </is>
      </c>
      <c r="AW422" t="inlineStr">
        <is>
          <t>991004505319702656</t>
        </is>
      </c>
      <c r="AX422" t="inlineStr">
        <is>
          <t>991004505319702656</t>
        </is>
      </c>
      <c r="AY422" t="inlineStr">
        <is>
          <t>2258781310002656</t>
        </is>
      </c>
      <c r="AZ422" t="inlineStr">
        <is>
          <t>BOOK</t>
        </is>
      </c>
      <c r="BB422" t="inlineStr">
        <is>
          <t>9781564780348</t>
        </is>
      </c>
      <c r="BC422" t="inlineStr">
        <is>
          <t>32285005047070</t>
        </is>
      </c>
      <c r="BD422" t="inlineStr">
        <is>
          <t>893895071</t>
        </is>
      </c>
    </row>
    <row r="423">
      <c r="A423" t="inlineStr">
        <is>
          <t>No</t>
        </is>
      </c>
      <c r="B423" t="inlineStr">
        <is>
          <t>PG7213.A84 W6513 2005</t>
        </is>
      </c>
      <c r="C423" t="inlineStr">
        <is>
          <t>0                      PG 7213000A  84                 W  6513        2005</t>
        </is>
      </c>
      <c r="D423" t="inlineStr">
        <is>
          <t>Snow White and Russian Red / Dorota Masłowska ; translated from the Polish by Benjamin Paloff ; with illustrations by Krysztof Ostrowski.</t>
        </is>
      </c>
      <c r="F423" t="inlineStr">
        <is>
          <t>No</t>
        </is>
      </c>
      <c r="G423" t="inlineStr">
        <is>
          <t>1</t>
        </is>
      </c>
      <c r="H423" t="inlineStr">
        <is>
          <t>No</t>
        </is>
      </c>
      <c r="I423" t="inlineStr">
        <is>
          <t>No</t>
        </is>
      </c>
      <c r="J423" t="inlineStr">
        <is>
          <t>0</t>
        </is>
      </c>
      <c r="K423" t="inlineStr">
        <is>
          <t>Masłowska, Dorota, 1983-</t>
        </is>
      </c>
      <c r="L423" t="inlineStr">
        <is>
          <t>New York : Black Cat, c2005.</t>
        </is>
      </c>
      <c r="M423" t="inlineStr">
        <is>
          <t>2005</t>
        </is>
      </c>
      <c r="O423" t="inlineStr">
        <is>
          <t>eng</t>
        </is>
      </c>
      <c r="P423" t="inlineStr">
        <is>
          <t>nyu</t>
        </is>
      </c>
      <c r="R423" t="inlineStr">
        <is>
          <t xml:space="preserve">PG </t>
        </is>
      </c>
      <c r="S423" t="n">
        <v>1</v>
      </c>
      <c r="T423" t="n">
        <v>1</v>
      </c>
      <c r="U423" t="inlineStr">
        <is>
          <t>2005-07-06</t>
        </is>
      </c>
      <c r="V423" t="inlineStr">
        <is>
          <t>2005-07-06</t>
        </is>
      </c>
      <c r="W423" t="inlineStr">
        <is>
          <t>2005-07-06</t>
        </is>
      </c>
      <c r="X423" t="inlineStr">
        <is>
          <t>2005-07-06</t>
        </is>
      </c>
      <c r="Y423" t="n">
        <v>319</v>
      </c>
      <c r="Z423" t="n">
        <v>290</v>
      </c>
      <c r="AA423" t="n">
        <v>311</v>
      </c>
      <c r="AB423" t="n">
        <v>3</v>
      </c>
      <c r="AC423" t="n">
        <v>4</v>
      </c>
      <c r="AD423" t="n">
        <v>9</v>
      </c>
      <c r="AE423" t="n">
        <v>10</v>
      </c>
      <c r="AF423" t="n">
        <v>1</v>
      </c>
      <c r="AG423" t="n">
        <v>1</v>
      </c>
      <c r="AH423" t="n">
        <v>4</v>
      </c>
      <c r="AI423" t="n">
        <v>4</v>
      </c>
      <c r="AJ423" t="n">
        <v>5</v>
      </c>
      <c r="AK423" t="n">
        <v>5</v>
      </c>
      <c r="AL423" t="n">
        <v>1</v>
      </c>
      <c r="AM423" t="n">
        <v>2</v>
      </c>
      <c r="AN423" t="n">
        <v>0</v>
      </c>
      <c r="AO423" t="n">
        <v>0</v>
      </c>
      <c r="AP423" t="inlineStr">
        <is>
          <t>No</t>
        </is>
      </c>
      <c r="AQ423" t="inlineStr">
        <is>
          <t>No</t>
        </is>
      </c>
      <c r="AS423">
        <f>HYPERLINK("https://creighton-primo.hosted.exlibrisgroup.com/primo-explore/search?tab=default_tab&amp;search_scope=EVERYTHING&amp;vid=01CRU&amp;lang=en_US&amp;offset=0&amp;query=any,contains,991004581329702656","Catalog Record")</f>
        <v/>
      </c>
      <c r="AT423">
        <f>HYPERLINK("http://www.worldcat.org/oclc/56490118","WorldCat Record")</f>
        <v/>
      </c>
      <c r="AU423" t="inlineStr">
        <is>
          <t>9675207:eng</t>
        </is>
      </c>
      <c r="AV423" t="inlineStr">
        <is>
          <t>56490118</t>
        </is>
      </c>
      <c r="AW423" t="inlineStr">
        <is>
          <t>991004581329702656</t>
        </is>
      </c>
      <c r="AX423" t="inlineStr">
        <is>
          <t>991004581329702656</t>
        </is>
      </c>
      <c r="AY423" t="inlineStr">
        <is>
          <t>2263569500002656</t>
        </is>
      </c>
      <c r="AZ423" t="inlineStr">
        <is>
          <t>BOOK</t>
        </is>
      </c>
      <c r="BB423" t="inlineStr">
        <is>
          <t>9780802170019</t>
        </is>
      </c>
      <c r="BC423" t="inlineStr">
        <is>
          <t>32285005094791</t>
        </is>
      </c>
      <c r="BD423" t="inlineStr">
        <is>
          <t>893888910</t>
        </is>
      </c>
    </row>
    <row r="424">
      <c r="A424" t="inlineStr">
        <is>
          <t>No</t>
        </is>
      </c>
      <c r="B424" t="inlineStr">
        <is>
          <t>PG7445.E1 G5</t>
        </is>
      </c>
      <c r="C424" t="inlineStr">
        <is>
          <t>0                      PG 7445000E  1                  G  5</t>
        </is>
      </c>
      <c r="D424" t="inlineStr">
        <is>
          <t>Introduction to modern Polish literature; an anthology of fiction and poetry. Edited by Adam Gillon and Ludwik Krzyzanowski.</t>
        </is>
      </c>
      <c r="F424" t="inlineStr">
        <is>
          <t>No</t>
        </is>
      </c>
      <c r="G424" t="inlineStr">
        <is>
          <t>1</t>
        </is>
      </c>
      <c r="H424" t="inlineStr">
        <is>
          <t>No</t>
        </is>
      </c>
      <c r="I424" t="inlineStr">
        <is>
          <t>No</t>
        </is>
      </c>
      <c r="J424" t="inlineStr">
        <is>
          <t>0</t>
        </is>
      </c>
      <c r="K424" t="inlineStr">
        <is>
          <t>Gillon, Adam, 1921-2012 editor.</t>
        </is>
      </c>
      <c r="L424" t="inlineStr">
        <is>
          <t>New York, Twayne Publishers [1964]</t>
        </is>
      </c>
      <c r="M424" t="inlineStr">
        <is>
          <t>1964</t>
        </is>
      </c>
      <c r="O424" t="inlineStr">
        <is>
          <t>eng</t>
        </is>
      </c>
      <c r="P424" t="inlineStr">
        <is>
          <t>nyu</t>
        </is>
      </c>
      <c r="R424" t="inlineStr">
        <is>
          <t xml:space="preserve">PG </t>
        </is>
      </c>
      <c r="S424" t="n">
        <v>1</v>
      </c>
      <c r="T424" t="n">
        <v>1</v>
      </c>
      <c r="U424" t="inlineStr">
        <is>
          <t>2002-04-18</t>
        </is>
      </c>
      <c r="V424" t="inlineStr">
        <is>
          <t>2002-04-18</t>
        </is>
      </c>
      <c r="W424" t="inlineStr">
        <is>
          <t>1997-09-11</t>
        </is>
      </c>
      <c r="X424" t="inlineStr">
        <is>
          <t>1997-09-11</t>
        </is>
      </c>
      <c r="Y424" t="n">
        <v>735</v>
      </c>
      <c r="Z424" t="n">
        <v>661</v>
      </c>
      <c r="AA424" t="n">
        <v>745</v>
      </c>
      <c r="AB424" t="n">
        <v>6</v>
      </c>
      <c r="AC424" t="n">
        <v>6</v>
      </c>
      <c r="AD424" t="n">
        <v>27</v>
      </c>
      <c r="AE424" t="n">
        <v>31</v>
      </c>
      <c r="AF424" t="n">
        <v>7</v>
      </c>
      <c r="AG424" t="n">
        <v>10</v>
      </c>
      <c r="AH424" t="n">
        <v>5</v>
      </c>
      <c r="AI424" t="n">
        <v>6</v>
      </c>
      <c r="AJ424" t="n">
        <v>12</v>
      </c>
      <c r="AK424" t="n">
        <v>15</v>
      </c>
      <c r="AL424" t="n">
        <v>5</v>
      </c>
      <c r="AM424" t="n">
        <v>5</v>
      </c>
      <c r="AN424" t="n">
        <v>0</v>
      </c>
      <c r="AO424" t="n">
        <v>0</v>
      </c>
      <c r="AP424" t="inlineStr">
        <is>
          <t>No</t>
        </is>
      </c>
      <c r="AQ424" t="inlineStr">
        <is>
          <t>Yes</t>
        </is>
      </c>
      <c r="AR424">
        <f>HYPERLINK("http://catalog.hathitrust.org/Record/000981026","HathiTrust Record")</f>
        <v/>
      </c>
      <c r="AS424">
        <f>HYPERLINK("https://creighton-primo.hosted.exlibrisgroup.com/primo-explore/search?tab=default_tab&amp;search_scope=EVERYTHING&amp;vid=01CRU&amp;lang=en_US&amp;offset=0&amp;query=any,contains,991002332819702656","Catalog Record")</f>
        <v/>
      </c>
      <c r="AT424">
        <f>HYPERLINK("http://www.worldcat.org/oclc/322538","WorldCat Record")</f>
        <v/>
      </c>
      <c r="AU424" t="inlineStr">
        <is>
          <t>4928744387:eng</t>
        </is>
      </c>
      <c r="AV424" t="inlineStr">
        <is>
          <t>322538</t>
        </is>
      </c>
      <c r="AW424" t="inlineStr">
        <is>
          <t>991002332819702656</t>
        </is>
      </c>
      <c r="AX424" t="inlineStr">
        <is>
          <t>991002332819702656</t>
        </is>
      </c>
      <c r="AY424" t="inlineStr">
        <is>
          <t>2257166770002656</t>
        </is>
      </c>
      <c r="AZ424" t="inlineStr">
        <is>
          <t>BOOK</t>
        </is>
      </c>
      <c r="BC424" t="inlineStr">
        <is>
          <t>32285003221982</t>
        </is>
      </c>
      <c r="BD424" t="inlineStr">
        <is>
          <t>893517176</t>
        </is>
      </c>
    </row>
    <row r="425">
      <c r="A425" t="inlineStr">
        <is>
          <t>No</t>
        </is>
      </c>
      <c r="B425" t="inlineStr">
        <is>
          <t>PG8701 .L58 1997</t>
        </is>
      </c>
      <c r="C425" t="inlineStr">
        <is>
          <t>0                      PG 8701000L  58          1997</t>
        </is>
      </c>
      <c r="D425" t="inlineStr">
        <is>
          <t>Lithuanian literature / [Vytautas Kubilius ... et al. ; edited by Vytastus Kubilius ; translated by Rita Dapkutė and Diana Bartkutė].</t>
        </is>
      </c>
      <c r="F425" t="inlineStr">
        <is>
          <t>No</t>
        </is>
      </c>
      <c r="G425" t="inlineStr">
        <is>
          <t>1</t>
        </is>
      </c>
      <c r="H425" t="inlineStr">
        <is>
          <t>No</t>
        </is>
      </c>
      <c r="I425" t="inlineStr">
        <is>
          <t>No</t>
        </is>
      </c>
      <c r="J425" t="inlineStr">
        <is>
          <t>0</t>
        </is>
      </c>
      <c r="L425" t="inlineStr">
        <is>
          <t>Vilnius : Vaga, 1997.</t>
        </is>
      </c>
      <c r="M425" t="inlineStr">
        <is>
          <t>1997</t>
        </is>
      </c>
      <c r="O425" t="inlineStr">
        <is>
          <t>eng</t>
        </is>
      </c>
      <c r="P425" t="inlineStr">
        <is>
          <t xml:space="preserve">li </t>
        </is>
      </c>
      <c r="R425" t="inlineStr">
        <is>
          <t xml:space="preserve">PG </t>
        </is>
      </c>
      <c r="S425" t="n">
        <v>1</v>
      </c>
      <c r="T425" t="n">
        <v>1</v>
      </c>
      <c r="U425" t="inlineStr">
        <is>
          <t>2004-03-22</t>
        </is>
      </c>
      <c r="V425" t="inlineStr">
        <is>
          <t>2004-03-22</t>
        </is>
      </c>
      <c r="W425" t="inlineStr">
        <is>
          <t>1999-11-08</t>
        </is>
      </c>
      <c r="X425" t="inlineStr">
        <is>
          <t>1999-11-08</t>
        </is>
      </c>
      <c r="Y425" t="n">
        <v>52</v>
      </c>
      <c r="Z425" t="n">
        <v>34</v>
      </c>
      <c r="AA425" t="n">
        <v>36</v>
      </c>
      <c r="AB425" t="n">
        <v>1</v>
      </c>
      <c r="AC425" t="n">
        <v>1</v>
      </c>
      <c r="AD425" t="n">
        <v>1</v>
      </c>
      <c r="AE425" t="n">
        <v>1</v>
      </c>
      <c r="AF425" t="n">
        <v>1</v>
      </c>
      <c r="AG425" t="n">
        <v>1</v>
      </c>
      <c r="AH425" t="n">
        <v>0</v>
      </c>
      <c r="AI425" t="n">
        <v>0</v>
      </c>
      <c r="AJ425" t="n">
        <v>1</v>
      </c>
      <c r="AK425" t="n">
        <v>1</v>
      </c>
      <c r="AL425" t="n">
        <v>0</v>
      </c>
      <c r="AM425" t="n">
        <v>0</v>
      </c>
      <c r="AN425" t="n">
        <v>0</v>
      </c>
      <c r="AO425" t="n">
        <v>0</v>
      </c>
      <c r="AP425" t="inlineStr">
        <is>
          <t>No</t>
        </is>
      </c>
      <c r="AQ425" t="inlineStr">
        <is>
          <t>Yes</t>
        </is>
      </c>
      <c r="AR425">
        <f>HYPERLINK("http://catalog.hathitrust.org/Record/003944572","HathiTrust Record")</f>
        <v/>
      </c>
      <c r="AS425">
        <f>HYPERLINK("https://creighton-primo.hosted.exlibrisgroup.com/primo-explore/search?tab=default_tab&amp;search_scope=EVERYTHING&amp;vid=01CRU&amp;lang=en_US&amp;offset=0&amp;query=any,contains,991002892349702656","Catalog Record")</f>
        <v/>
      </c>
      <c r="AT425">
        <f>HYPERLINK("http://www.worldcat.org/oclc/38108542","WorldCat Record")</f>
        <v/>
      </c>
      <c r="AU425" t="inlineStr">
        <is>
          <t>354556229:eng</t>
        </is>
      </c>
      <c r="AV425" t="inlineStr">
        <is>
          <t>38108542</t>
        </is>
      </c>
      <c r="AW425" t="inlineStr">
        <is>
          <t>991002892349702656</t>
        </is>
      </c>
      <c r="AX425" t="inlineStr">
        <is>
          <t>991002892349702656</t>
        </is>
      </c>
      <c r="AY425" t="inlineStr">
        <is>
          <t>2259484990002656</t>
        </is>
      </c>
      <c r="AZ425" t="inlineStr">
        <is>
          <t>BOOK</t>
        </is>
      </c>
      <c r="BB425" t="inlineStr">
        <is>
          <t>9785415005031</t>
        </is>
      </c>
      <c r="BC425" t="inlineStr">
        <is>
          <t>32285003619409</t>
        </is>
      </c>
      <c r="BD425" t="inlineStr">
        <is>
          <t>893257852</t>
        </is>
      </c>
    </row>
    <row r="426">
      <c r="A426" t="inlineStr">
        <is>
          <t>No</t>
        </is>
      </c>
      <c r="B426" t="inlineStr">
        <is>
          <t>PG8771.E1 L57 1997</t>
        </is>
      </c>
      <c r="C426" t="inlineStr">
        <is>
          <t>0                      PG 8771000E  1                  L  57          1997</t>
        </is>
      </c>
      <c r="D426" t="inlineStr">
        <is>
          <t>Lithuania : in her own words : an anthology of contemporary Lithuanian writing / edited by Laima Sruoginis.</t>
        </is>
      </c>
      <c r="F426" t="inlineStr">
        <is>
          <t>No</t>
        </is>
      </c>
      <c r="G426" t="inlineStr">
        <is>
          <t>1</t>
        </is>
      </c>
      <c r="H426" t="inlineStr">
        <is>
          <t>No</t>
        </is>
      </c>
      <c r="I426" t="inlineStr">
        <is>
          <t>No</t>
        </is>
      </c>
      <c r="J426" t="inlineStr">
        <is>
          <t>0</t>
        </is>
      </c>
      <c r="L426" t="inlineStr">
        <is>
          <t>Vilnius : Tyto alba, 1997.</t>
        </is>
      </c>
      <c r="M426" t="inlineStr">
        <is>
          <t>1997</t>
        </is>
      </c>
      <c r="O426" t="inlineStr">
        <is>
          <t>eng</t>
        </is>
      </c>
      <c r="P426" t="inlineStr">
        <is>
          <t xml:space="preserve">li </t>
        </is>
      </c>
      <c r="R426" t="inlineStr">
        <is>
          <t xml:space="preserve">PG </t>
        </is>
      </c>
      <c r="S426" t="n">
        <v>1</v>
      </c>
      <c r="T426" t="n">
        <v>1</v>
      </c>
      <c r="U426" t="inlineStr">
        <is>
          <t>2004-09-03</t>
        </is>
      </c>
      <c r="V426" t="inlineStr">
        <is>
          <t>2004-09-03</t>
        </is>
      </c>
      <c r="W426" t="inlineStr">
        <is>
          <t>1999-11-08</t>
        </is>
      </c>
      <c r="X426" t="inlineStr">
        <is>
          <t>1999-11-08</t>
        </is>
      </c>
      <c r="Y426" t="n">
        <v>40</v>
      </c>
      <c r="Z426" t="n">
        <v>34</v>
      </c>
      <c r="AA426" t="n">
        <v>35</v>
      </c>
      <c r="AB426" t="n">
        <v>1</v>
      </c>
      <c r="AC426" t="n">
        <v>1</v>
      </c>
      <c r="AD426" t="n">
        <v>0</v>
      </c>
      <c r="AE426" t="n">
        <v>0</v>
      </c>
      <c r="AF426" t="n">
        <v>0</v>
      </c>
      <c r="AG426" t="n">
        <v>0</v>
      </c>
      <c r="AH426" t="n">
        <v>0</v>
      </c>
      <c r="AI426" t="n">
        <v>0</v>
      </c>
      <c r="AJ426" t="n">
        <v>0</v>
      </c>
      <c r="AK426" t="n">
        <v>0</v>
      </c>
      <c r="AL426" t="n">
        <v>0</v>
      </c>
      <c r="AM426" t="n">
        <v>0</v>
      </c>
      <c r="AN426" t="n">
        <v>0</v>
      </c>
      <c r="AO426" t="n">
        <v>0</v>
      </c>
      <c r="AP426" t="inlineStr">
        <is>
          <t>No</t>
        </is>
      </c>
      <c r="AQ426" t="inlineStr">
        <is>
          <t>Yes</t>
        </is>
      </c>
      <c r="AR426">
        <f>HYPERLINK("http://catalog.hathitrust.org/Record/003313119","HathiTrust Record")</f>
        <v/>
      </c>
      <c r="AS426">
        <f>HYPERLINK("https://creighton-primo.hosted.exlibrisgroup.com/primo-explore/search?tab=default_tab&amp;search_scope=EVERYTHING&amp;vid=01CRU&amp;lang=en_US&amp;offset=0&amp;query=any,contains,991002997919702656","Catalog Record")</f>
        <v/>
      </c>
      <c r="AT426">
        <f>HYPERLINK("http://www.worldcat.org/oclc/40545537","WorldCat Record")</f>
        <v/>
      </c>
      <c r="AU426" t="inlineStr">
        <is>
          <t>26306476:eng</t>
        </is>
      </c>
      <c r="AV426" t="inlineStr">
        <is>
          <t>40545537</t>
        </is>
      </c>
      <c r="AW426" t="inlineStr">
        <is>
          <t>991002997919702656</t>
        </is>
      </c>
      <c r="AX426" t="inlineStr">
        <is>
          <t>991002997919702656</t>
        </is>
      </c>
      <c r="AY426" t="inlineStr">
        <is>
          <t>2265694610002656</t>
        </is>
      </c>
      <c r="AZ426" t="inlineStr">
        <is>
          <t>BOOK</t>
        </is>
      </c>
      <c r="BB426" t="inlineStr">
        <is>
          <t>9789986160540</t>
        </is>
      </c>
      <c r="BC426" t="inlineStr">
        <is>
          <t>32285003619383</t>
        </is>
      </c>
      <c r="BD426" t="inlineStr">
        <is>
          <t>893348211</t>
        </is>
      </c>
    </row>
    <row r="427">
      <c r="A427" t="inlineStr">
        <is>
          <t>No</t>
        </is>
      </c>
      <c r="B427" t="inlineStr">
        <is>
          <t>PG9621.K3 A2 2006</t>
        </is>
      </c>
      <c r="C427" t="inlineStr">
        <is>
          <t>0                      PG 9621000K  3                  A  2           2006</t>
        </is>
      </c>
      <c r="D427" t="inlineStr">
        <is>
          <t>Agamemnon's daughter : a novella and stories / Ismail Kadare ; translated from the French of Tedi Papavrami and Jusuf Vrioni by David Bellos.</t>
        </is>
      </c>
      <c r="F427" t="inlineStr">
        <is>
          <t>No</t>
        </is>
      </c>
      <c r="G427" t="inlineStr">
        <is>
          <t>1</t>
        </is>
      </c>
      <c r="H427" t="inlineStr">
        <is>
          <t>No</t>
        </is>
      </c>
      <c r="I427" t="inlineStr">
        <is>
          <t>No</t>
        </is>
      </c>
      <c r="J427" t="inlineStr">
        <is>
          <t>0</t>
        </is>
      </c>
      <c r="K427" t="inlineStr">
        <is>
          <t>Kadare, Ismail.</t>
        </is>
      </c>
      <c r="L427" t="inlineStr">
        <is>
          <t>New York : Arcade, 2006.</t>
        </is>
      </c>
      <c r="M427" t="inlineStr">
        <is>
          <t>2006</t>
        </is>
      </c>
      <c r="N427" t="inlineStr">
        <is>
          <t>1st English-language ed.</t>
        </is>
      </c>
      <c r="O427" t="inlineStr">
        <is>
          <t>eng</t>
        </is>
      </c>
      <c r="P427" t="inlineStr">
        <is>
          <t>nyu</t>
        </is>
      </c>
      <c r="R427" t="inlineStr">
        <is>
          <t xml:space="preserve">PG </t>
        </is>
      </c>
      <c r="S427" t="n">
        <v>1</v>
      </c>
      <c r="T427" t="n">
        <v>1</v>
      </c>
      <c r="U427" t="inlineStr">
        <is>
          <t>2007-07-09</t>
        </is>
      </c>
      <c r="V427" t="inlineStr">
        <is>
          <t>2007-07-09</t>
        </is>
      </c>
      <c r="W427" t="inlineStr">
        <is>
          <t>2007-01-09</t>
        </is>
      </c>
      <c r="X427" t="inlineStr">
        <is>
          <t>2007-01-09</t>
        </is>
      </c>
      <c r="Y427" t="n">
        <v>417</v>
      </c>
      <c r="Z427" t="n">
        <v>377</v>
      </c>
      <c r="AA427" t="n">
        <v>461</v>
      </c>
      <c r="AB427" t="n">
        <v>4</v>
      </c>
      <c r="AC427" t="n">
        <v>4</v>
      </c>
      <c r="AD427" t="n">
        <v>13</v>
      </c>
      <c r="AE427" t="n">
        <v>13</v>
      </c>
      <c r="AF427" t="n">
        <v>5</v>
      </c>
      <c r="AG427" t="n">
        <v>5</v>
      </c>
      <c r="AH427" t="n">
        <v>4</v>
      </c>
      <c r="AI427" t="n">
        <v>4</v>
      </c>
      <c r="AJ427" t="n">
        <v>6</v>
      </c>
      <c r="AK427" t="n">
        <v>6</v>
      </c>
      <c r="AL427" t="n">
        <v>3</v>
      </c>
      <c r="AM427" t="n">
        <v>3</v>
      </c>
      <c r="AN427" t="n">
        <v>0</v>
      </c>
      <c r="AO427" t="n">
        <v>0</v>
      </c>
      <c r="AP427" t="inlineStr">
        <is>
          <t>No</t>
        </is>
      </c>
      <c r="AQ427" t="inlineStr">
        <is>
          <t>Yes</t>
        </is>
      </c>
      <c r="AR427">
        <f>HYPERLINK("http://catalog.hathitrust.org/Record/005551497","HathiTrust Record")</f>
        <v/>
      </c>
      <c r="AS427">
        <f>HYPERLINK("https://creighton-primo.hosted.exlibrisgroup.com/primo-explore/search?tab=default_tab&amp;search_scope=EVERYTHING&amp;vid=01CRU&amp;lang=en_US&amp;offset=0&amp;query=any,contains,991004998429702656","Catalog Record")</f>
        <v/>
      </c>
      <c r="AT427">
        <f>HYPERLINK("http://www.worldcat.org/oclc/69992498","WorldCat Record")</f>
        <v/>
      </c>
      <c r="AU427" t="inlineStr">
        <is>
          <t>53605887:eng</t>
        </is>
      </c>
      <c r="AV427" t="inlineStr">
        <is>
          <t>69992498</t>
        </is>
      </c>
      <c r="AW427" t="inlineStr">
        <is>
          <t>991004998429702656</t>
        </is>
      </c>
      <c r="AX427" t="inlineStr">
        <is>
          <t>991004998429702656</t>
        </is>
      </c>
      <c r="AY427" t="inlineStr">
        <is>
          <t>2268812050002656</t>
        </is>
      </c>
      <c r="AZ427" t="inlineStr">
        <is>
          <t>BOOK</t>
        </is>
      </c>
      <c r="BB427" t="inlineStr">
        <is>
          <t>9781559707886</t>
        </is>
      </c>
      <c r="BC427" t="inlineStr">
        <is>
          <t>32285005270052</t>
        </is>
      </c>
      <c r="BD427" t="inlineStr">
        <is>
          <t>893236144</t>
        </is>
      </c>
    </row>
    <row r="428">
      <c r="A428" t="inlineStr">
        <is>
          <t>No</t>
        </is>
      </c>
      <c r="B428" t="inlineStr">
        <is>
          <t>PH2640 .O73 1977</t>
        </is>
      </c>
      <c r="C428" t="inlineStr">
        <is>
          <t>0                      PH 2640000O  73          1977</t>
        </is>
      </c>
      <c r="D428" t="inlineStr">
        <is>
          <t>Magyar-angol szótár / Országh László.</t>
        </is>
      </c>
      <c r="E428" t="inlineStr">
        <is>
          <t>V.2</t>
        </is>
      </c>
      <c r="F428" t="inlineStr">
        <is>
          <t>Yes</t>
        </is>
      </c>
      <c r="G428" t="inlineStr">
        <is>
          <t>1</t>
        </is>
      </c>
      <c r="H428" t="inlineStr">
        <is>
          <t>No</t>
        </is>
      </c>
      <c r="I428" t="inlineStr">
        <is>
          <t>No</t>
        </is>
      </c>
      <c r="J428" t="inlineStr">
        <is>
          <t>0</t>
        </is>
      </c>
      <c r="K428" t="inlineStr">
        <is>
          <t>Országh, László.</t>
        </is>
      </c>
      <c r="L428" t="inlineStr">
        <is>
          <t>Budapest : Akademiai Kiadó, 1977, c1963.</t>
        </is>
      </c>
      <c r="M428" t="inlineStr">
        <is>
          <t>1977</t>
        </is>
      </c>
      <c r="N428" t="inlineStr">
        <is>
          <t>5. változatlan kiad.</t>
        </is>
      </c>
      <c r="O428" t="inlineStr">
        <is>
          <t>hun</t>
        </is>
      </c>
      <c r="P428" t="inlineStr">
        <is>
          <t xml:space="preserve">hu </t>
        </is>
      </c>
      <c r="R428" t="inlineStr">
        <is>
          <t xml:space="preserve">PH </t>
        </is>
      </c>
      <c r="S428" t="n">
        <v>1</v>
      </c>
      <c r="T428" t="n">
        <v>2</v>
      </c>
      <c r="U428" t="inlineStr">
        <is>
          <t>1998-08-19</t>
        </is>
      </c>
      <c r="V428" t="inlineStr">
        <is>
          <t>1998-08-19</t>
        </is>
      </c>
      <c r="W428" t="inlineStr">
        <is>
          <t>1996-08-06</t>
        </is>
      </c>
      <c r="X428" t="inlineStr">
        <is>
          <t>1996-08-06</t>
        </is>
      </c>
      <c r="Y428" t="n">
        <v>45</v>
      </c>
      <c r="Z428" t="n">
        <v>32</v>
      </c>
      <c r="AA428" t="n">
        <v>316</v>
      </c>
      <c r="AB428" t="n">
        <v>1</v>
      </c>
      <c r="AC428" t="n">
        <v>2</v>
      </c>
      <c r="AD428" t="n">
        <v>1</v>
      </c>
      <c r="AE428" t="n">
        <v>11</v>
      </c>
      <c r="AF428" t="n">
        <v>0</v>
      </c>
      <c r="AG428" t="n">
        <v>1</v>
      </c>
      <c r="AH428" t="n">
        <v>0</v>
      </c>
      <c r="AI428" t="n">
        <v>4</v>
      </c>
      <c r="AJ428" t="n">
        <v>1</v>
      </c>
      <c r="AK428" t="n">
        <v>7</v>
      </c>
      <c r="AL428" t="n">
        <v>0</v>
      </c>
      <c r="AM428" t="n">
        <v>1</v>
      </c>
      <c r="AN428" t="n">
        <v>0</v>
      </c>
      <c r="AO428" t="n">
        <v>0</v>
      </c>
      <c r="AP428" t="inlineStr">
        <is>
          <t>No</t>
        </is>
      </c>
      <c r="AQ428" t="inlineStr">
        <is>
          <t>No</t>
        </is>
      </c>
      <c r="AS428">
        <f>HYPERLINK("https://creighton-primo.hosted.exlibrisgroup.com/primo-explore/search?tab=default_tab&amp;search_scope=EVERYTHING&amp;vid=01CRU&amp;lang=en_US&amp;offset=0&amp;query=any,contains,991004478869702656","Catalog Record")</f>
        <v/>
      </c>
      <c r="AT428">
        <f>HYPERLINK("http://www.worldcat.org/oclc/3620659","WorldCat Record")</f>
        <v/>
      </c>
      <c r="AU428" t="inlineStr">
        <is>
          <t>4915300059:hun</t>
        </is>
      </c>
      <c r="AV428" t="inlineStr">
        <is>
          <t>3620659</t>
        </is>
      </c>
      <c r="AW428" t="inlineStr">
        <is>
          <t>991004478869702656</t>
        </is>
      </c>
      <c r="AX428" t="inlineStr">
        <is>
          <t>991004478869702656</t>
        </is>
      </c>
      <c r="AY428" t="inlineStr">
        <is>
          <t>2262234210002656</t>
        </is>
      </c>
      <c r="AZ428" t="inlineStr">
        <is>
          <t>BOOK</t>
        </is>
      </c>
      <c r="BB428" t="inlineStr">
        <is>
          <t>9789630512824</t>
        </is>
      </c>
      <c r="BC428" t="inlineStr">
        <is>
          <t>32285002271228</t>
        </is>
      </c>
      <c r="BD428" t="inlineStr">
        <is>
          <t>893606084</t>
        </is>
      </c>
    </row>
    <row r="429">
      <c r="A429" t="inlineStr">
        <is>
          <t>No</t>
        </is>
      </c>
      <c r="B429" t="inlineStr">
        <is>
          <t>PH2640 .O73 1977</t>
        </is>
      </c>
      <c r="C429" t="inlineStr">
        <is>
          <t>0                      PH 2640000O  73          1977</t>
        </is>
      </c>
      <c r="D429" t="inlineStr">
        <is>
          <t>Magyar-angol szótár / Országh László.</t>
        </is>
      </c>
      <c r="E429" t="inlineStr">
        <is>
          <t>V.1</t>
        </is>
      </c>
      <c r="F429" t="inlineStr">
        <is>
          <t>Yes</t>
        </is>
      </c>
      <c r="G429" t="inlineStr">
        <is>
          <t>1</t>
        </is>
      </c>
      <c r="H429" t="inlineStr">
        <is>
          <t>No</t>
        </is>
      </c>
      <c r="I429" t="inlineStr">
        <is>
          <t>No</t>
        </is>
      </c>
      <c r="J429" t="inlineStr">
        <is>
          <t>0</t>
        </is>
      </c>
      <c r="K429" t="inlineStr">
        <is>
          <t>Országh, László.</t>
        </is>
      </c>
      <c r="L429" t="inlineStr">
        <is>
          <t>Budapest : Akademiai Kiadó, 1977, c1963.</t>
        </is>
      </c>
      <c r="M429" t="inlineStr">
        <is>
          <t>1977</t>
        </is>
      </c>
      <c r="N429" t="inlineStr">
        <is>
          <t>5. változatlan kiad.</t>
        </is>
      </c>
      <c r="O429" t="inlineStr">
        <is>
          <t>hun</t>
        </is>
      </c>
      <c r="P429" t="inlineStr">
        <is>
          <t xml:space="preserve">hu </t>
        </is>
      </c>
      <c r="R429" t="inlineStr">
        <is>
          <t xml:space="preserve">PH </t>
        </is>
      </c>
      <c r="S429" t="n">
        <v>1</v>
      </c>
      <c r="T429" t="n">
        <v>2</v>
      </c>
      <c r="U429" t="inlineStr">
        <is>
          <t>1998-08-19</t>
        </is>
      </c>
      <c r="V429" t="inlineStr">
        <is>
          <t>1998-08-19</t>
        </is>
      </c>
      <c r="W429" t="inlineStr">
        <is>
          <t>1996-08-06</t>
        </is>
      </c>
      <c r="X429" t="inlineStr">
        <is>
          <t>1996-08-06</t>
        </is>
      </c>
      <c r="Y429" t="n">
        <v>45</v>
      </c>
      <c r="Z429" t="n">
        <v>32</v>
      </c>
      <c r="AA429" t="n">
        <v>316</v>
      </c>
      <c r="AB429" t="n">
        <v>1</v>
      </c>
      <c r="AC429" t="n">
        <v>2</v>
      </c>
      <c r="AD429" t="n">
        <v>1</v>
      </c>
      <c r="AE429" t="n">
        <v>11</v>
      </c>
      <c r="AF429" t="n">
        <v>0</v>
      </c>
      <c r="AG429" t="n">
        <v>1</v>
      </c>
      <c r="AH429" t="n">
        <v>0</v>
      </c>
      <c r="AI429" t="n">
        <v>4</v>
      </c>
      <c r="AJ429" t="n">
        <v>1</v>
      </c>
      <c r="AK429" t="n">
        <v>7</v>
      </c>
      <c r="AL429" t="n">
        <v>0</v>
      </c>
      <c r="AM429" t="n">
        <v>1</v>
      </c>
      <c r="AN429" t="n">
        <v>0</v>
      </c>
      <c r="AO429" t="n">
        <v>0</v>
      </c>
      <c r="AP429" t="inlineStr">
        <is>
          <t>No</t>
        </is>
      </c>
      <c r="AQ429" t="inlineStr">
        <is>
          <t>No</t>
        </is>
      </c>
      <c r="AS429">
        <f>HYPERLINK("https://creighton-primo.hosted.exlibrisgroup.com/primo-explore/search?tab=default_tab&amp;search_scope=EVERYTHING&amp;vid=01CRU&amp;lang=en_US&amp;offset=0&amp;query=any,contains,991004478869702656","Catalog Record")</f>
        <v/>
      </c>
      <c r="AT429">
        <f>HYPERLINK("http://www.worldcat.org/oclc/3620659","WorldCat Record")</f>
        <v/>
      </c>
      <c r="AU429" t="inlineStr">
        <is>
          <t>4915300059:hun</t>
        </is>
      </c>
      <c r="AV429" t="inlineStr">
        <is>
          <t>3620659</t>
        </is>
      </c>
      <c r="AW429" t="inlineStr">
        <is>
          <t>991004478869702656</t>
        </is>
      </c>
      <c r="AX429" t="inlineStr">
        <is>
          <t>991004478869702656</t>
        </is>
      </c>
      <c r="AY429" t="inlineStr">
        <is>
          <t>2262234210002656</t>
        </is>
      </c>
      <c r="AZ429" t="inlineStr">
        <is>
          <t>BOOK</t>
        </is>
      </c>
      <c r="BB429" t="inlineStr">
        <is>
          <t>9789630512824</t>
        </is>
      </c>
      <c r="BC429" t="inlineStr">
        <is>
          <t>32285002271210</t>
        </is>
      </c>
      <c r="BD429" t="inlineStr">
        <is>
          <t>893606085</t>
        </is>
      </c>
    </row>
    <row r="430">
      <c r="A430" t="inlineStr">
        <is>
          <t>No</t>
        </is>
      </c>
      <c r="B430" t="inlineStr">
        <is>
          <t>PH279 .S68 1998</t>
        </is>
      </c>
      <c r="C430" t="inlineStr">
        <is>
          <t>0                      PH 0279000S  68          1998</t>
        </is>
      </c>
      <c r="D430" t="inlineStr">
        <is>
          <t>NTC's compact Finnish and English dictionary / Sini Sovijärvi.</t>
        </is>
      </c>
      <c r="F430" t="inlineStr">
        <is>
          <t>No</t>
        </is>
      </c>
      <c r="G430" t="inlineStr">
        <is>
          <t>1</t>
        </is>
      </c>
      <c r="H430" t="inlineStr">
        <is>
          <t>No</t>
        </is>
      </c>
      <c r="I430" t="inlineStr">
        <is>
          <t>No</t>
        </is>
      </c>
      <c r="J430" t="inlineStr">
        <is>
          <t>0</t>
        </is>
      </c>
      <c r="K430" t="inlineStr">
        <is>
          <t>Sovijärvi, Sini.</t>
        </is>
      </c>
      <c r="L430" t="inlineStr">
        <is>
          <t>Lincolnwood, Ill. : NTC Pub. Group, 1998.</t>
        </is>
      </c>
      <c r="M430" t="inlineStr">
        <is>
          <t>1998</t>
        </is>
      </c>
      <c r="O430" t="inlineStr">
        <is>
          <t>eng</t>
        </is>
      </c>
      <c r="P430" t="inlineStr">
        <is>
          <t>ilu</t>
        </is>
      </c>
      <c r="R430" t="inlineStr">
        <is>
          <t xml:space="preserve">PH </t>
        </is>
      </c>
      <c r="S430" t="n">
        <v>4</v>
      </c>
      <c r="T430" t="n">
        <v>4</v>
      </c>
      <c r="U430" t="inlineStr">
        <is>
          <t>2005-12-01</t>
        </is>
      </c>
      <c r="V430" t="inlineStr">
        <is>
          <t>2005-12-01</t>
        </is>
      </c>
      <c r="W430" t="inlineStr">
        <is>
          <t>1999-06-03</t>
        </is>
      </c>
      <c r="X430" t="inlineStr">
        <is>
          <t>1999-06-03</t>
        </is>
      </c>
      <c r="Y430" t="n">
        <v>194</v>
      </c>
      <c r="Z430" t="n">
        <v>178</v>
      </c>
      <c r="AA430" t="n">
        <v>178</v>
      </c>
      <c r="AB430" t="n">
        <v>1</v>
      </c>
      <c r="AC430" t="n">
        <v>1</v>
      </c>
      <c r="AD430" t="n">
        <v>2</v>
      </c>
      <c r="AE430" t="n">
        <v>2</v>
      </c>
      <c r="AF430" t="n">
        <v>0</v>
      </c>
      <c r="AG430" t="n">
        <v>0</v>
      </c>
      <c r="AH430" t="n">
        <v>0</v>
      </c>
      <c r="AI430" t="n">
        <v>0</v>
      </c>
      <c r="AJ430" t="n">
        <v>2</v>
      </c>
      <c r="AK430" t="n">
        <v>2</v>
      </c>
      <c r="AL430" t="n">
        <v>0</v>
      </c>
      <c r="AM430" t="n">
        <v>0</v>
      </c>
      <c r="AN430" t="n">
        <v>0</v>
      </c>
      <c r="AO430" t="n">
        <v>0</v>
      </c>
      <c r="AP430" t="inlineStr">
        <is>
          <t>No</t>
        </is>
      </c>
      <c r="AQ430" t="inlineStr">
        <is>
          <t>No</t>
        </is>
      </c>
      <c r="AS430">
        <f>HYPERLINK("https://creighton-primo.hosted.exlibrisgroup.com/primo-explore/search?tab=default_tab&amp;search_scope=EVERYTHING&amp;vid=01CRU&amp;lang=en_US&amp;offset=0&amp;query=any,contains,991002965089702656","Catalog Record")</f>
        <v/>
      </c>
      <c r="AT430">
        <f>HYPERLINK("http://www.worldcat.org/oclc/39299476","WorldCat Record")</f>
        <v/>
      </c>
      <c r="AU430" t="inlineStr">
        <is>
          <t>19477763:eng</t>
        </is>
      </c>
      <c r="AV430" t="inlineStr">
        <is>
          <t>39299476</t>
        </is>
      </c>
      <c r="AW430" t="inlineStr">
        <is>
          <t>991002965089702656</t>
        </is>
      </c>
      <c r="AX430" t="inlineStr">
        <is>
          <t>991002965089702656</t>
        </is>
      </c>
      <c r="AY430" t="inlineStr">
        <is>
          <t>2266304360002656</t>
        </is>
      </c>
      <c r="AZ430" t="inlineStr">
        <is>
          <t>BOOK</t>
        </is>
      </c>
      <c r="BB430" t="inlineStr">
        <is>
          <t>9780844201474</t>
        </is>
      </c>
      <c r="BC430" t="inlineStr">
        <is>
          <t>32285003573192</t>
        </is>
      </c>
      <c r="BD430" t="inlineStr">
        <is>
          <t>893335966</t>
        </is>
      </c>
    </row>
    <row r="431">
      <c r="A431" t="inlineStr">
        <is>
          <t>No</t>
        </is>
      </c>
      <c r="B431" t="inlineStr">
        <is>
          <t>PH301 .A35 1973</t>
        </is>
      </c>
      <c r="C431" t="inlineStr">
        <is>
          <t>0                      PH 0301000A  35          1973</t>
        </is>
      </c>
      <c r="D431" t="inlineStr">
        <is>
          <t>A history of Finnish literature / by Jaakko, Ahokas.</t>
        </is>
      </c>
      <c r="F431" t="inlineStr">
        <is>
          <t>No</t>
        </is>
      </c>
      <c r="G431" t="inlineStr">
        <is>
          <t>1</t>
        </is>
      </c>
      <c r="H431" t="inlineStr">
        <is>
          <t>No</t>
        </is>
      </c>
      <c r="I431" t="inlineStr">
        <is>
          <t>No</t>
        </is>
      </c>
      <c r="J431" t="inlineStr">
        <is>
          <t>0</t>
        </is>
      </c>
      <c r="K431" t="inlineStr">
        <is>
          <t>Ahokas, Jaakko, 1923-</t>
        </is>
      </c>
      <c r="L431" t="inlineStr">
        <is>
          <t>[Bloomington] : Published for the American-Scandinavian Foundation by Indiana University, Research Center for the Language Sciences, [1973]</t>
        </is>
      </c>
      <c r="M431" t="inlineStr">
        <is>
          <t>1973</t>
        </is>
      </c>
      <c r="O431" t="inlineStr">
        <is>
          <t>eng</t>
        </is>
      </c>
      <c r="P431" t="inlineStr">
        <is>
          <t>inu</t>
        </is>
      </c>
      <c r="R431" t="inlineStr">
        <is>
          <t xml:space="preserve">PH </t>
        </is>
      </c>
      <c r="S431" t="n">
        <v>3</v>
      </c>
      <c r="T431" t="n">
        <v>3</v>
      </c>
      <c r="U431" t="inlineStr">
        <is>
          <t>1999-05-17</t>
        </is>
      </c>
      <c r="V431" t="inlineStr">
        <is>
          <t>1999-05-17</t>
        </is>
      </c>
      <c r="W431" t="inlineStr">
        <is>
          <t>1992-02-21</t>
        </is>
      </c>
      <c r="X431" t="inlineStr">
        <is>
          <t>1992-02-21</t>
        </is>
      </c>
      <c r="Y431" t="n">
        <v>254</v>
      </c>
      <c r="Z431" t="n">
        <v>207</v>
      </c>
      <c r="AA431" t="n">
        <v>207</v>
      </c>
      <c r="AB431" t="n">
        <v>3</v>
      </c>
      <c r="AC431" t="n">
        <v>3</v>
      </c>
      <c r="AD431" t="n">
        <v>7</v>
      </c>
      <c r="AE431" t="n">
        <v>7</v>
      </c>
      <c r="AF431" t="n">
        <v>1</v>
      </c>
      <c r="AG431" t="n">
        <v>1</v>
      </c>
      <c r="AH431" t="n">
        <v>3</v>
      </c>
      <c r="AI431" t="n">
        <v>3</v>
      </c>
      <c r="AJ431" t="n">
        <v>2</v>
      </c>
      <c r="AK431" t="n">
        <v>2</v>
      </c>
      <c r="AL431" t="n">
        <v>2</v>
      </c>
      <c r="AM431" t="n">
        <v>2</v>
      </c>
      <c r="AN431" t="n">
        <v>0</v>
      </c>
      <c r="AO431" t="n">
        <v>0</v>
      </c>
      <c r="AP431" t="inlineStr">
        <is>
          <t>No</t>
        </is>
      </c>
      <c r="AQ431" t="inlineStr">
        <is>
          <t>No</t>
        </is>
      </c>
      <c r="AS431">
        <f>HYPERLINK("https://creighton-primo.hosted.exlibrisgroup.com/primo-explore/search?tab=default_tab&amp;search_scope=EVERYTHING&amp;vid=01CRU&amp;lang=en_US&amp;offset=0&amp;query=any,contains,991003310569702656","Catalog Record")</f>
        <v/>
      </c>
      <c r="AT431">
        <f>HYPERLINK("http://www.worldcat.org/oclc/834694","WorldCat Record")</f>
        <v/>
      </c>
      <c r="AU431" t="inlineStr">
        <is>
          <t>10596196920:eng</t>
        </is>
      </c>
      <c r="AV431" t="inlineStr">
        <is>
          <t>834694</t>
        </is>
      </c>
      <c r="AW431" t="inlineStr">
        <is>
          <t>991003310569702656</t>
        </is>
      </c>
      <c r="AX431" t="inlineStr">
        <is>
          <t>991003310569702656</t>
        </is>
      </c>
      <c r="AY431" t="inlineStr">
        <is>
          <t>2267230140002656</t>
        </is>
      </c>
      <c r="AZ431" t="inlineStr">
        <is>
          <t>BOOK</t>
        </is>
      </c>
      <c r="BB431" t="inlineStr">
        <is>
          <t>9780877501725</t>
        </is>
      </c>
      <c r="BC431" t="inlineStr">
        <is>
          <t>32285000909472</t>
        </is>
      </c>
      <c r="BD431" t="inlineStr">
        <is>
          <t>893793517</t>
        </is>
      </c>
    </row>
    <row r="432">
      <c r="A432" t="inlineStr">
        <is>
          <t>No</t>
        </is>
      </c>
      <c r="B432" t="inlineStr">
        <is>
          <t>PH3213.C69 M3</t>
        </is>
      </c>
      <c r="C432" t="inlineStr">
        <is>
          <t>0                      PH 3213000C  69                 M  3</t>
        </is>
      </c>
      <c r="D432" t="inlineStr">
        <is>
          <t>The magician's garden and other stories / by Géza Csáth ; selected and with an introduction by Marianna D. Birnbaum ; translated by Jascha Kessler and Charlotte Rogers.</t>
        </is>
      </c>
      <c r="F432" t="inlineStr">
        <is>
          <t>No</t>
        </is>
      </c>
      <c r="G432" t="inlineStr">
        <is>
          <t>1</t>
        </is>
      </c>
      <c r="H432" t="inlineStr">
        <is>
          <t>No</t>
        </is>
      </c>
      <c r="I432" t="inlineStr">
        <is>
          <t>No</t>
        </is>
      </c>
      <c r="J432" t="inlineStr">
        <is>
          <t>0</t>
        </is>
      </c>
      <c r="K432" t="inlineStr">
        <is>
          <t>Csáth, Géza, 1887-1919.</t>
        </is>
      </c>
      <c r="L432" t="inlineStr">
        <is>
          <t>New York : Columbia University Press, 1980.</t>
        </is>
      </c>
      <c r="M432" t="inlineStr">
        <is>
          <t>1980</t>
        </is>
      </c>
      <c r="O432" t="inlineStr">
        <is>
          <t>eng</t>
        </is>
      </c>
      <c r="P432" t="inlineStr">
        <is>
          <t>nyu</t>
        </is>
      </c>
      <c r="R432" t="inlineStr">
        <is>
          <t xml:space="preserve">PH </t>
        </is>
      </c>
      <c r="S432" t="n">
        <v>2</v>
      </c>
      <c r="T432" t="n">
        <v>2</v>
      </c>
      <c r="U432" t="inlineStr">
        <is>
          <t>1998-12-04</t>
        </is>
      </c>
      <c r="V432" t="inlineStr">
        <is>
          <t>1998-12-04</t>
        </is>
      </c>
      <c r="W432" t="inlineStr">
        <is>
          <t>1993-04-28</t>
        </is>
      </c>
      <c r="X432" t="inlineStr">
        <is>
          <t>1993-04-28</t>
        </is>
      </c>
      <c r="Y432" t="n">
        <v>262</v>
      </c>
      <c r="Z432" t="n">
        <v>231</v>
      </c>
      <c r="AA432" t="n">
        <v>246</v>
      </c>
      <c r="AB432" t="n">
        <v>2</v>
      </c>
      <c r="AC432" t="n">
        <v>2</v>
      </c>
      <c r="AD432" t="n">
        <v>8</v>
      </c>
      <c r="AE432" t="n">
        <v>9</v>
      </c>
      <c r="AF432" t="n">
        <v>4</v>
      </c>
      <c r="AG432" t="n">
        <v>4</v>
      </c>
      <c r="AH432" t="n">
        <v>0</v>
      </c>
      <c r="AI432" t="n">
        <v>1</v>
      </c>
      <c r="AJ432" t="n">
        <v>4</v>
      </c>
      <c r="AK432" t="n">
        <v>5</v>
      </c>
      <c r="AL432" t="n">
        <v>1</v>
      </c>
      <c r="AM432" t="n">
        <v>1</v>
      </c>
      <c r="AN432" t="n">
        <v>0</v>
      </c>
      <c r="AO432" t="n">
        <v>0</v>
      </c>
      <c r="AP432" t="inlineStr">
        <is>
          <t>No</t>
        </is>
      </c>
      <c r="AQ432" t="inlineStr">
        <is>
          <t>Yes</t>
        </is>
      </c>
      <c r="AR432">
        <f>HYPERLINK("http://catalog.hathitrust.org/Record/007152457","HathiTrust Record")</f>
        <v/>
      </c>
      <c r="AS432">
        <f>HYPERLINK("https://creighton-primo.hosted.exlibrisgroup.com/primo-explore/search?tab=default_tab&amp;search_scope=EVERYTHING&amp;vid=01CRU&amp;lang=en_US&amp;offset=0&amp;query=any,contains,991004607079702656","Catalog Record")</f>
        <v/>
      </c>
      <c r="AT432">
        <f>HYPERLINK("http://www.worldcat.org/oclc/4195139","WorldCat Record")</f>
        <v/>
      </c>
      <c r="AU432" t="inlineStr">
        <is>
          <t>1807021645:eng</t>
        </is>
      </c>
      <c r="AV432" t="inlineStr">
        <is>
          <t>4195139</t>
        </is>
      </c>
      <c r="AW432" t="inlineStr">
        <is>
          <t>991004607079702656</t>
        </is>
      </c>
      <c r="AX432" t="inlineStr">
        <is>
          <t>991004607079702656</t>
        </is>
      </c>
      <c r="AY432" t="inlineStr">
        <is>
          <t>2261097230002656</t>
        </is>
      </c>
      <c r="AZ432" t="inlineStr">
        <is>
          <t>BOOK</t>
        </is>
      </c>
      <c r="BB432" t="inlineStr">
        <is>
          <t>9780231047326</t>
        </is>
      </c>
      <c r="BC432" t="inlineStr">
        <is>
          <t>32285001670156</t>
        </is>
      </c>
      <c r="BD432" t="inlineStr">
        <is>
          <t>893337906</t>
        </is>
      </c>
    </row>
    <row r="433">
      <c r="A433" t="inlineStr">
        <is>
          <t>No</t>
        </is>
      </c>
      <c r="B433" t="inlineStr">
        <is>
          <t>PH324.E5 M3</t>
        </is>
      </c>
      <c r="C433" t="inlineStr">
        <is>
          <t>0                      PH 0324000E  5                  M  3</t>
        </is>
      </c>
      <c r="D433" t="inlineStr">
        <is>
          <t>The Kalevala; or, Poems of the Kaleva District. Compiled by Elias Lönnrot. A prose translation with foreword and appendices by Francis Peabody Magoun, Jr.</t>
        </is>
      </c>
      <c r="F433" t="inlineStr">
        <is>
          <t>No</t>
        </is>
      </c>
      <c r="G433" t="inlineStr">
        <is>
          <t>1</t>
        </is>
      </c>
      <c r="H433" t="inlineStr">
        <is>
          <t>No</t>
        </is>
      </c>
      <c r="I433" t="inlineStr">
        <is>
          <t>No</t>
        </is>
      </c>
      <c r="J433" t="inlineStr">
        <is>
          <t>0</t>
        </is>
      </c>
      <c r="K433" t="inlineStr">
        <is>
          <t>Kalevala.</t>
        </is>
      </c>
      <c r="L433" t="inlineStr">
        <is>
          <t>Cambridge, Mass., Harvard University Press, 1963.</t>
        </is>
      </c>
      <c r="M433" t="inlineStr">
        <is>
          <t>1963</t>
        </is>
      </c>
      <c r="O433" t="inlineStr">
        <is>
          <t>eng</t>
        </is>
      </c>
      <c r="P433" t="inlineStr">
        <is>
          <t>mau</t>
        </is>
      </c>
      <c r="R433" t="inlineStr">
        <is>
          <t xml:space="preserve">PH </t>
        </is>
      </c>
      <c r="S433" t="n">
        <v>2</v>
      </c>
      <c r="T433" t="n">
        <v>2</v>
      </c>
      <c r="U433" t="inlineStr">
        <is>
          <t>2002-03-01</t>
        </is>
      </c>
      <c r="V433" t="inlineStr">
        <is>
          <t>2002-03-01</t>
        </is>
      </c>
      <c r="W433" t="inlineStr">
        <is>
          <t>1997-09-11</t>
        </is>
      </c>
      <c r="X433" t="inlineStr">
        <is>
          <t>1997-09-11</t>
        </is>
      </c>
      <c r="Y433" t="n">
        <v>697</v>
      </c>
      <c r="Z433" t="n">
        <v>610</v>
      </c>
      <c r="AA433" t="n">
        <v>635</v>
      </c>
      <c r="AB433" t="n">
        <v>6</v>
      </c>
      <c r="AC433" t="n">
        <v>6</v>
      </c>
      <c r="AD433" t="n">
        <v>26</v>
      </c>
      <c r="AE433" t="n">
        <v>27</v>
      </c>
      <c r="AF433" t="n">
        <v>10</v>
      </c>
      <c r="AG433" t="n">
        <v>10</v>
      </c>
      <c r="AH433" t="n">
        <v>4</v>
      </c>
      <c r="AI433" t="n">
        <v>5</v>
      </c>
      <c r="AJ433" t="n">
        <v>14</v>
      </c>
      <c r="AK433" t="n">
        <v>15</v>
      </c>
      <c r="AL433" t="n">
        <v>4</v>
      </c>
      <c r="AM433" t="n">
        <v>4</v>
      </c>
      <c r="AN433" t="n">
        <v>0</v>
      </c>
      <c r="AO433" t="n">
        <v>0</v>
      </c>
      <c r="AP433" t="inlineStr">
        <is>
          <t>No</t>
        </is>
      </c>
      <c r="AQ433" t="inlineStr">
        <is>
          <t>Yes</t>
        </is>
      </c>
      <c r="AR433">
        <f>HYPERLINK("http://catalog.hathitrust.org/Record/001110474","HathiTrust Record")</f>
        <v/>
      </c>
      <c r="AS433">
        <f>HYPERLINK("https://creighton-primo.hosted.exlibrisgroup.com/primo-explore/search?tab=default_tab&amp;search_scope=EVERYTHING&amp;vid=01CRU&amp;lang=en_US&amp;offset=0&amp;query=any,contains,991003731599702656","Catalog Record")</f>
        <v/>
      </c>
      <c r="AT433">
        <f>HYPERLINK("http://www.worldcat.org/oclc/1383209","WorldCat Record")</f>
        <v/>
      </c>
      <c r="AU433" t="inlineStr">
        <is>
          <t>10177872730:eng</t>
        </is>
      </c>
      <c r="AV433" t="inlineStr">
        <is>
          <t>1383209</t>
        </is>
      </c>
      <c r="AW433" t="inlineStr">
        <is>
          <t>991003731599702656</t>
        </is>
      </c>
      <c r="AX433" t="inlineStr">
        <is>
          <t>991003731599702656</t>
        </is>
      </c>
      <c r="AY433" t="inlineStr">
        <is>
          <t>2264077520002656</t>
        </is>
      </c>
      <c r="AZ433" t="inlineStr">
        <is>
          <t>BOOK</t>
        </is>
      </c>
      <c r="BB433" t="inlineStr">
        <is>
          <t>9780674500006</t>
        </is>
      </c>
      <c r="BC433" t="inlineStr">
        <is>
          <t>32285003222055</t>
        </is>
      </c>
      <c r="BD433" t="inlineStr">
        <is>
          <t>893781323</t>
        </is>
      </c>
    </row>
    <row r="434">
      <c r="A434" t="inlineStr">
        <is>
          <t>No</t>
        </is>
      </c>
      <c r="B434" t="inlineStr">
        <is>
          <t>PH324.E5 M32</t>
        </is>
      </c>
      <c r="C434" t="inlineStr">
        <is>
          <t>0                      PH 0324000E  5                  M  32</t>
        </is>
      </c>
      <c r="D434" t="inlineStr">
        <is>
          <t>The Old Kalevala, and certain antecedents. Compiled by Elias Lönnrot. Prose translations with foreword and appendices by Francis Peabody Magoun, Jr.</t>
        </is>
      </c>
      <c r="F434" t="inlineStr">
        <is>
          <t>No</t>
        </is>
      </c>
      <c r="G434" t="inlineStr">
        <is>
          <t>1</t>
        </is>
      </c>
      <c r="H434" t="inlineStr">
        <is>
          <t>No</t>
        </is>
      </c>
      <c r="I434" t="inlineStr">
        <is>
          <t>No</t>
        </is>
      </c>
      <c r="J434" t="inlineStr">
        <is>
          <t>0</t>
        </is>
      </c>
      <c r="K434" t="inlineStr">
        <is>
          <t>Kalevala. English.</t>
        </is>
      </c>
      <c r="L434" t="inlineStr">
        <is>
          <t>Cambridge, Harvard University Press, 1969.</t>
        </is>
      </c>
      <c r="M434" t="inlineStr">
        <is>
          <t>1969</t>
        </is>
      </c>
      <c r="O434" t="inlineStr">
        <is>
          <t>eng</t>
        </is>
      </c>
      <c r="P434" t="inlineStr">
        <is>
          <t>mau</t>
        </is>
      </c>
      <c r="R434" t="inlineStr">
        <is>
          <t xml:space="preserve">PH </t>
        </is>
      </c>
      <c r="S434" t="n">
        <v>1</v>
      </c>
      <c r="T434" t="n">
        <v>1</v>
      </c>
      <c r="U434" t="inlineStr">
        <is>
          <t>2002-09-25</t>
        </is>
      </c>
      <c r="V434" t="inlineStr">
        <is>
          <t>2002-09-25</t>
        </is>
      </c>
      <c r="W434" t="inlineStr">
        <is>
          <t>1997-09-11</t>
        </is>
      </c>
      <c r="X434" t="inlineStr">
        <is>
          <t>1997-09-11</t>
        </is>
      </c>
      <c r="Y434" t="n">
        <v>443</v>
      </c>
      <c r="Z434" t="n">
        <v>397</v>
      </c>
      <c r="AA434" t="n">
        <v>404</v>
      </c>
      <c r="AB434" t="n">
        <v>6</v>
      </c>
      <c r="AC434" t="n">
        <v>6</v>
      </c>
      <c r="AD434" t="n">
        <v>15</v>
      </c>
      <c r="AE434" t="n">
        <v>15</v>
      </c>
      <c r="AF434" t="n">
        <v>4</v>
      </c>
      <c r="AG434" t="n">
        <v>4</v>
      </c>
      <c r="AH434" t="n">
        <v>4</v>
      </c>
      <c r="AI434" t="n">
        <v>4</v>
      </c>
      <c r="AJ434" t="n">
        <v>5</v>
      </c>
      <c r="AK434" t="n">
        <v>5</v>
      </c>
      <c r="AL434" t="n">
        <v>4</v>
      </c>
      <c r="AM434" t="n">
        <v>4</v>
      </c>
      <c r="AN434" t="n">
        <v>0</v>
      </c>
      <c r="AO434" t="n">
        <v>0</v>
      </c>
      <c r="AP434" t="inlineStr">
        <is>
          <t>No</t>
        </is>
      </c>
      <c r="AQ434" t="inlineStr">
        <is>
          <t>Yes</t>
        </is>
      </c>
      <c r="AR434">
        <f>HYPERLINK("http://catalog.hathitrust.org/Record/000981241","HathiTrust Record")</f>
        <v/>
      </c>
      <c r="AS434">
        <f>HYPERLINK("https://creighton-primo.hosted.exlibrisgroup.com/primo-explore/search?tab=default_tab&amp;search_scope=EVERYTHING&amp;vid=01CRU&amp;lang=en_US&amp;offset=0&amp;query=any,contains,991000644999702656","Catalog Record")</f>
        <v/>
      </c>
      <c r="AT434">
        <f>HYPERLINK("http://www.worldcat.org/oclc/111025","WorldCat Record")</f>
        <v/>
      </c>
      <c r="AU434" t="inlineStr">
        <is>
          <t>1010384066:eng</t>
        </is>
      </c>
      <c r="AV434" t="inlineStr">
        <is>
          <t>111025</t>
        </is>
      </c>
      <c r="AW434" t="inlineStr">
        <is>
          <t>991000644999702656</t>
        </is>
      </c>
      <c r="AX434" t="inlineStr">
        <is>
          <t>991000644999702656</t>
        </is>
      </c>
      <c r="AY434" t="inlineStr">
        <is>
          <t>2268556860002656</t>
        </is>
      </c>
      <c r="AZ434" t="inlineStr">
        <is>
          <t>BOOK</t>
        </is>
      </c>
      <c r="BB434" t="inlineStr">
        <is>
          <t>9780674632356</t>
        </is>
      </c>
      <c r="BC434" t="inlineStr">
        <is>
          <t>32285003222063</t>
        </is>
      </c>
      <c r="BD434" t="inlineStr">
        <is>
          <t>893528244</t>
        </is>
      </c>
    </row>
    <row r="435">
      <c r="A435" t="inlineStr">
        <is>
          <t>No</t>
        </is>
      </c>
      <c r="B435" t="inlineStr">
        <is>
          <t>PH3281.J73 A25</t>
        </is>
      </c>
      <c r="C435" t="inlineStr">
        <is>
          <t>0                      PH 3281000J  73                 A  25</t>
        </is>
      </c>
      <c r="D435" t="inlineStr">
        <is>
          <t>The boy changed into a stag; selected poems, 1949-1967. Translated [from the Hungarian] by Kenneth McRobbie &amp; Ilona Dyczynska.</t>
        </is>
      </c>
      <c r="F435" t="inlineStr">
        <is>
          <t>No</t>
        </is>
      </c>
      <c r="G435" t="inlineStr">
        <is>
          <t>1</t>
        </is>
      </c>
      <c r="H435" t="inlineStr">
        <is>
          <t>No</t>
        </is>
      </c>
      <c r="I435" t="inlineStr">
        <is>
          <t>No</t>
        </is>
      </c>
      <c r="J435" t="inlineStr">
        <is>
          <t>0</t>
        </is>
      </c>
      <c r="K435" t="inlineStr">
        <is>
          <t>Juhász, Ferenc, 1928-2015.</t>
        </is>
      </c>
      <c r="L435" t="inlineStr">
        <is>
          <t>Toronto, New York, Oxford University Press, 1970.</t>
        </is>
      </c>
      <c r="M435" t="inlineStr">
        <is>
          <t>1970</t>
        </is>
      </c>
      <c r="O435" t="inlineStr">
        <is>
          <t>eng</t>
        </is>
      </c>
      <c r="P435" t="inlineStr">
        <is>
          <t>onc</t>
        </is>
      </c>
      <c r="R435" t="inlineStr">
        <is>
          <t xml:space="preserve">PH </t>
        </is>
      </c>
      <c r="S435" t="n">
        <v>2</v>
      </c>
      <c r="T435" t="n">
        <v>2</v>
      </c>
      <c r="U435" t="inlineStr">
        <is>
          <t>1998-12-04</t>
        </is>
      </c>
      <c r="V435" t="inlineStr">
        <is>
          <t>1998-12-04</t>
        </is>
      </c>
      <c r="W435" t="inlineStr">
        <is>
          <t>1997-09-11</t>
        </is>
      </c>
      <c r="X435" t="inlineStr">
        <is>
          <t>1997-09-11</t>
        </is>
      </c>
      <c r="Y435" t="n">
        <v>380</v>
      </c>
      <c r="Z435" t="n">
        <v>328</v>
      </c>
      <c r="AA435" t="n">
        <v>331</v>
      </c>
      <c r="AB435" t="n">
        <v>4</v>
      </c>
      <c r="AC435" t="n">
        <v>4</v>
      </c>
      <c r="AD435" t="n">
        <v>11</v>
      </c>
      <c r="AE435" t="n">
        <v>11</v>
      </c>
      <c r="AF435" t="n">
        <v>4</v>
      </c>
      <c r="AG435" t="n">
        <v>4</v>
      </c>
      <c r="AH435" t="n">
        <v>2</v>
      </c>
      <c r="AI435" t="n">
        <v>2</v>
      </c>
      <c r="AJ435" t="n">
        <v>5</v>
      </c>
      <c r="AK435" t="n">
        <v>5</v>
      </c>
      <c r="AL435" t="n">
        <v>3</v>
      </c>
      <c r="AM435" t="n">
        <v>3</v>
      </c>
      <c r="AN435" t="n">
        <v>0</v>
      </c>
      <c r="AO435" t="n">
        <v>0</v>
      </c>
      <c r="AP435" t="inlineStr">
        <is>
          <t>No</t>
        </is>
      </c>
      <c r="AQ435" t="inlineStr">
        <is>
          <t>Yes</t>
        </is>
      </c>
      <c r="AR435">
        <f>HYPERLINK("http://catalog.hathitrust.org/Record/000981577","HathiTrust Record")</f>
        <v/>
      </c>
      <c r="AS435">
        <f>HYPERLINK("https://creighton-primo.hosted.exlibrisgroup.com/primo-explore/search?tab=default_tab&amp;search_scope=EVERYTHING&amp;vid=01CRU&amp;lang=en_US&amp;offset=0&amp;query=any,contains,991000566109702656","Catalog Record")</f>
        <v/>
      </c>
      <c r="AT435">
        <f>HYPERLINK("http://www.worldcat.org/oclc/94250","WorldCat Record")</f>
        <v/>
      </c>
      <c r="AU435" t="inlineStr">
        <is>
          <t>792193280:eng</t>
        </is>
      </c>
      <c r="AV435" t="inlineStr">
        <is>
          <t>94250</t>
        </is>
      </c>
      <c r="AW435" t="inlineStr">
        <is>
          <t>991000566109702656</t>
        </is>
      </c>
      <c r="AX435" t="inlineStr">
        <is>
          <t>991000566109702656</t>
        </is>
      </c>
      <c r="AY435" t="inlineStr">
        <is>
          <t>2266138040002656</t>
        </is>
      </c>
      <c r="AZ435" t="inlineStr">
        <is>
          <t>BOOK</t>
        </is>
      </c>
      <c r="BB435" t="inlineStr">
        <is>
          <t>9780195401578</t>
        </is>
      </c>
      <c r="BC435" t="inlineStr">
        <is>
          <t>32285003222212</t>
        </is>
      </c>
      <c r="BD435" t="inlineStr">
        <is>
          <t>893771755</t>
        </is>
      </c>
    </row>
    <row r="436">
      <c r="A436" t="inlineStr">
        <is>
          <t>No</t>
        </is>
      </c>
      <c r="B436" t="inlineStr">
        <is>
          <t>PH355.P3783 T85 1982</t>
        </is>
      </c>
      <c r="C436" t="inlineStr">
        <is>
          <t>0                      PH 0355000P  3783               T  85          1982</t>
        </is>
      </c>
      <c r="D436" t="inlineStr">
        <is>
          <t>Arctic twilight: old Finnish tales / by Samuli Paulaharju ; translated by Allan M. Pitkänen ; illustrations by Urpo Huhtanen.</t>
        </is>
      </c>
      <c r="F436" t="inlineStr">
        <is>
          <t>No</t>
        </is>
      </c>
      <c r="G436" t="inlineStr">
        <is>
          <t>1</t>
        </is>
      </c>
      <c r="H436" t="inlineStr">
        <is>
          <t>No</t>
        </is>
      </c>
      <c r="I436" t="inlineStr">
        <is>
          <t>No</t>
        </is>
      </c>
      <c r="J436" t="inlineStr">
        <is>
          <t>0</t>
        </is>
      </c>
      <c r="K436" t="inlineStr">
        <is>
          <t>Paulaharju, Samuli, 1875-1944.</t>
        </is>
      </c>
      <c r="L436" t="inlineStr">
        <is>
          <t>Portland, Ore. : Finnish American Literary Heritage Foundation, 1982, c1934.</t>
        </is>
      </c>
      <c r="M436" t="inlineStr">
        <is>
          <t>1982</t>
        </is>
      </c>
      <c r="O436" t="inlineStr">
        <is>
          <t>eng</t>
        </is>
      </c>
      <c r="P436" t="inlineStr">
        <is>
          <t>oru</t>
        </is>
      </c>
      <c r="R436" t="inlineStr">
        <is>
          <t xml:space="preserve">PH </t>
        </is>
      </c>
      <c r="S436" t="n">
        <v>4</v>
      </c>
      <c r="T436" t="n">
        <v>4</v>
      </c>
      <c r="U436" t="inlineStr">
        <is>
          <t>2002-03-01</t>
        </is>
      </c>
      <c r="V436" t="inlineStr">
        <is>
          <t>2002-03-01</t>
        </is>
      </c>
      <c r="W436" t="inlineStr">
        <is>
          <t>1993-04-28</t>
        </is>
      </c>
      <c r="X436" t="inlineStr">
        <is>
          <t>1993-04-28</t>
        </is>
      </c>
      <c r="Y436" t="n">
        <v>77</v>
      </c>
      <c r="Z436" t="n">
        <v>70</v>
      </c>
      <c r="AA436" t="n">
        <v>71</v>
      </c>
      <c r="AB436" t="n">
        <v>1</v>
      </c>
      <c r="AC436" t="n">
        <v>1</v>
      </c>
      <c r="AD436" t="n">
        <v>0</v>
      </c>
      <c r="AE436" t="n">
        <v>0</v>
      </c>
      <c r="AF436" t="n">
        <v>0</v>
      </c>
      <c r="AG436" t="n">
        <v>0</v>
      </c>
      <c r="AH436" t="n">
        <v>0</v>
      </c>
      <c r="AI436" t="n">
        <v>0</v>
      </c>
      <c r="AJ436" t="n">
        <v>0</v>
      </c>
      <c r="AK436" t="n">
        <v>0</v>
      </c>
      <c r="AL436" t="n">
        <v>0</v>
      </c>
      <c r="AM436" t="n">
        <v>0</v>
      </c>
      <c r="AN436" t="n">
        <v>0</v>
      </c>
      <c r="AO436" t="n">
        <v>0</v>
      </c>
      <c r="AP436" t="inlineStr">
        <is>
          <t>No</t>
        </is>
      </c>
      <c r="AQ436" t="inlineStr">
        <is>
          <t>Yes</t>
        </is>
      </c>
      <c r="AR436">
        <f>HYPERLINK("http://catalog.hathitrust.org/Record/006936060","HathiTrust Record")</f>
        <v/>
      </c>
      <c r="AS436">
        <f>HYPERLINK("https://creighton-primo.hosted.exlibrisgroup.com/primo-explore/search?tab=default_tab&amp;search_scope=EVERYTHING&amp;vid=01CRU&amp;lang=en_US&amp;offset=0&amp;query=any,contains,991000295579702656","Catalog Record")</f>
        <v/>
      </c>
      <c r="AT436">
        <f>HYPERLINK("http://www.worldcat.org/oclc/10458588","WorldCat Record")</f>
        <v/>
      </c>
      <c r="AU436" t="inlineStr">
        <is>
          <t>2564842928:eng</t>
        </is>
      </c>
      <c r="AV436" t="inlineStr">
        <is>
          <t>10458588</t>
        </is>
      </c>
      <c r="AW436" t="inlineStr">
        <is>
          <t>991000295579702656</t>
        </is>
      </c>
      <c r="AX436" t="inlineStr">
        <is>
          <t>991000295579702656</t>
        </is>
      </c>
      <c r="AY436" t="inlineStr">
        <is>
          <t>2258056740002656</t>
        </is>
      </c>
      <c r="AZ436" t="inlineStr">
        <is>
          <t>BOOK</t>
        </is>
      </c>
      <c r="BB436" t="inlineStr">
        <is>
          <t>9780943478005</t>
        </is>
      </c>
      <c r="BC436" t="inlineStr">
        <is>
          <t>32285001670032</t>
        </is>
      </c>
      <c r="BD436" t="inlineStr">
        <is>
          <t>893796549</t>
        </is>
      </c>
    </row>
    <row r="437">
      <c r="A437" t="inlineStr">
        <is>
          <t>No</t>
        </is>
      </c>
      <c r="B437" t="inlineStr">
        <is>
          <t>PH355.S5 H87</t>
        </is>
      </c>
      <c r="C437" t="inlineStr">
        <is>
          <t>0                      PH 0355000S  5                  H  87</t>
        </is>
      </c>
      <c r="D437" t="inlineStr">
        <is>
          <t>Meek heritage : a novel / by F.E. Sillanpää ; Originally translated by Alex Matson and rev. by John R. Pitkin.</t>
        </is>
      </c>
      <c r="F437" t="inlineStr">
        <is>
          <t>No</t>
        </is>
      </c>
      <c r="G437" t="inlineStr">
        <is>
          <t>1</t>
        </is>
      </c>
      <c r="H437" t="inlineStr">
        <is>
          <t>No</t>
        </is>
      </c>
      <c r="I437" t="inlineStr">
        <is>
          <t>No</t>
        </is>
      </c>
      <c r="J437" t="inlineStr">
        <is>
          <t>0</t>
        </is>
      </c>
      <c r="K437" t="inlineStr">
        <is>
          <t>Sillanpää, F. E. (Frans Eemil), 1888-1964.</t>
        </is>
      </c>
      <c r="L437" t="inlineStr">
        <is>
          <t>Helsinki, Otava Pub. Co. [1971]</t>
        </is>
      </c>
      <c r="M437" t="inlineStr">
        <is>
          <t>1971</t>
        </is>
      </c>
      <c r="O437" t="inlineStr">
        <is>
          <t>eng</t>
        </is>
      </c>
      <c r="P437" t="inlineStr">
        <is>
          <t xml:space="preserve">fi </t>
        </is>
      </c>
      <c r="R437" t="inlineStr">
        <is>
          <t xml:space="preserve">PH </t>
        </is>
      </c>
      <c r="S437" t="n">
        <v>0</v>
      </c>
      <c r="T437" t="n">
        <v>0</v>
      </c>
      <c r="U437" t="inlineStr">
        <is>
          <t>2004-02-02</t>
        </is>
      </c>
      <c r="V437" t="inlineStr">
        <is>
          <t>2004-02-02</t>
        </is>
      </c>
      <c r="W437" t="inlineStr">
        <is>
          <t>1993-04-28</t>
        </is>
      </c>
      <c r="X437" t="inlineStr">
        <is>
          <t>1993-04-28</t>
        </is>
      </c>
      <c r="Y437" t="n">
        <v>30</v>
      </c>
      <c r="Z437" t="n">
        <v>15</v>
      </c>
      <c r="AA437" t="n">
        <v>389</v>
      </c>
      <c r="AB437" t="n">
        <v>1</v>
      </c>
      <c r="AC437" t="n">
        <v>3</v>
      </c>
      <c r="AD437" t="n">
        <v>0</v>
      </c>
      <c r="AE437" t="n">
        <v>12</v>
      </c>
      <c r="AF437" t="n">
        <v>0</v>
      </c>
      <c r="AG437" t="n">
        <v>6</v>
      </c>
      <c r="AH437" t="n">
        <v>0</v>
      </c>
      <c r="AI437" t="n">
        <v>2</v>
      </c>
      <c r="AJ437" t="n">
        <v>0</v>
      </c>
      <c r="AK437" t="n">
        <v>3</v>
      </c>
      <c r="AL437" t="n">
        <v>0</v>
      </c>
      <c r="AM437" t="n">
        <v>2</v>
      </c>
      <c r="AN437" t="n">
        <v>0</v>
      </c>
      <c r="AO437" t="n">
        <v>0</v>
      </c>
      <c r="AP437" t="inlineStr">
        <is>
          <t>No</t>
        </is>
      </c>
      <c r="AQ437" t="inlineStr">
        <is>
          <t>No</t>
        </is>
      </c>
      <c r="AS437">
        <f>HYPERLINK("https://creighton-primo.hosted.exlibrisgroup.com/primo-explore/search?tab=default_tab&amp;search_scope=EVERYTHING&amp;vid=01CRU&amp;lang=en_US&amp;offset=0&amp;query=any,contains,991003116959702656","Catalog Record")</f>
        <v/>
      </c>
      <c r="AT437">
        <f>HYPERLINK("http://www.worldcat.org/oclc/662582","WorldCat Record")</f>
        <v/>
      </c>
      <c r="AU437" t="inlineStr">
        <is>
          <t>2908452976:eng</t>
        </is>
      </c>
      <c r="AV437" t="inlineStr">
        <is>
          <t>662582</t>
        </is>
      </c>
      <c r="AW437" t="inlineStr">
        <is>
          <t>991003116959702656</t>
        </is>
      </c>
      <c r="AX437" t="inlineStr">
        <is>
          <t>991003116959702656</t>
        </is>
      </c>
      <c r="AY437" t="inlineStr">
        <is>
          <t>2269503450002656</t>
        </is>
      </c>
      <c r="AZ437" t="inlineStr">
        <is>
          <t>BOOK</t>
        </is>
      </c>
      <c r="BC437" t="inlineStr">
        <is>
          <t>32285001670040</t>
        </is>
      </c>
      <c r="BD437" t="inlineStr">
        <is>
          <t>893336159</t>
        </is>
      </c>
    </row>
    <row r="438">
      <c r="A438" t="inlineStr">
        <is>
          <t>No</t>
        </is>
      </c>
      <c r="B438" t="inlineStr">
        <is>
          <t>PJ1064.C6 A4 1973</t>
        </is>
      </c>
      <c r="C438" t="inlineStr">
        <is>
          <t>0                      PJ 1064000C  6                  A  4           1973</t>
        </is>
      </c>
      <c r="D438" t="inlineStr">
        <is>
          <t>Lettres écrites d'Egypte et de Nubie en 1828 et 1829.</t>
        </is>
      </c>
      <c r="F438" t="inlineStr">
        <is>
          <t>No</t>
        </is>
      </c>
      <c r="G438" t="inlineStr">
        <is>
          <t>1</t>
        </is>
      </c>
      <c r="H438" t="inlineStr">
        <is>
          <t>No</t>
        </is>
      </c>
      <c r="I438" t="inlineStr">
        <is>
          <t>No</t>
        </is>
      </c>
      <c r="J438" t="inlineStr">
        <is>
          <t>0</t>
        </is>
      </c>
      <c r="K438" t="inlineStr">
        <is>
          <t>Champollion, Jean-François, 1790-1832.</t>
        </is>
      </c>
      <c r="L438" t="inlineStr">
        <is>
          <t>Genève, Slatkine Reprints, 1973.</t>
        </is>
      </c>
      <c r="M438" t="inlineStr">
        <is>
          <t>1973</t>
        </is>
      </c>
      <c r="O438" t="inlineStr">
        <is>
          <t>fre</t>
        </is>
      </c>
      <c r="P438" t="inlineStr">
        <is>
          <t xml:space="preserve">sz </t>
        </is>
      </c>
      <c r="R438" t="inlineStr">
        <is>
          <t xml:space="preserve">PJ </t>
        </is>
      </c>
      <c r="S438" t="n">
        <v>0</v>
      </c>
      <c r="T438" t="n">
        <v>0</v>
      </c>
      <c r="U438" t="inlineStr">
        <is>
          <t>2010-01-26</t>
        </is>
      </c>
      <c r="V438" t="inlineStr">
        <is>
          <t>2010-01-26</t>
        </is>
      </c>
      <c r="W438" t="inlineStr">
        <is>
          <t>1997-09-11</t>
        </is>
      </c>
      <c r="X438" t="inlineStr">
        <is>
          <t>1997-09-11</t>
        </is>
      </c>
      <c r="Y438" t="n">
        <v>36</v>
      </c>
      <c r="Z438" t="n">
        <v>22</v>
      </c>
      <c r="AA438" t="n">
        <v>116</v>
      </c>
      <c r="AB438" t="n">
        <v>1</v>
      </c>
      <c r="AC438" t="n">
        <v>3</v>
      </c>
      <c r="AD438" t="n">
        <v>0</v>
      </c>
      <c r="AE438" t="n">
        <v>4</v>
      </c>
      <c r="AF438" t="n">
        <v>0</v>
      </c>
      <c r="AG438" t="n">
        <v>1</v>
      </c>
      <c r="AH438" t="n">
        <v>0</v>
      </c>
      <c r="AI438" t="n">
        <v>2</v>
      </c>
      <c r="AJ438" t="n">
        <v>0</v>
      </c>
      <c r="AK438" t="n">
        <v>0</v>
      </c>
      <c r="AL438" t="n">
        <v>0</v>
      </c>
      <c r="AM438" t="n">
        <v>2</v>
      </c>
      <c r="AN438" t="n">
        <v>0</v>
      </c>
      <c r="AO438" t="n">
        <v>0</v>
      </c>
      <c r="AP438" t="inlineStr">
        <is>
          <t>No</t>
        </is>
      </c>
      <c r="AQ438" t="inlineStr">
        <is>
          <t>No</t>
        </is>
      </c>
      <c r="AS438">
        <f>HYPERLINK("https://creighton-primo.hosted.exlibrisgroup.com/primo-explore/search?tab=default_tab&amp;search_scope=EVERYTHING&amp;vid=01CRU&amp;lang=en_US&amp;offset=0&amp;query=any,contains,991003362649702656","Catalog Record")</f>
        <v/>
      </c>
      <c r="AT438">
        <f>HYPERLINK("http://www.worldcat.org/oclc/898312","WorldCat Record")</f>
        <v/>
      </c>
      <c r="AU438" t="inlineStr">
        <is>
          <t>4159939421:fre</t>
        </is>
      </c>
      <c r="AV438" t="inlineStr">
        <is>
          <t>898312</t>
        </is>
      </c>
      <c r="AW438" t="inlineStr">
        <is>
          <t>991003362649702656</t>
        </is>
      </c>
      <c r="AX438" t="inlineStr">
        <is>
          <t>991003362649702656</t>
        </is>
      </c>
      <c r="AY438" t="inlineStr">
        <is>
          <t>2258215400002656</t>
        </is>
      </c>
      <c r="AZ438" t="inlineStr">
        <is>
          <t>BOOK</t>
        </is>
      </c>
      <c r="BC438" t="inlineStr">
        <is>
          <t>32285003222469</t>
        </is>
      </c>
      <c r="BD438" t="inlineStr">
        <is>
          <t>893518419</t>
        </is>
      </c>
    </row>
    <row r="439">
      <c r="A439" t="inlineStr">
        <is>
          <t>No</t>
        </is>
      </c>
      <c r="B439" t="inlineStr">
        <is>
          <t>PJ1091 .E57 1968</t>
        </is>
      </c>
      <c r="C439" t="inlineStr">
        <is>
          <t>0                      PJ 1091000E  57          1968</t>
        </is>
      </c>
      <c r="D439" t="inlineStr">
        <is>
          <t>Egyptian hieroglyphs for everyone : an introduction to the writing of ancient Egypt / by Joseph &amp; Lenore Scott.</t>
        </is>
      </c>
      <c r="F439" t="inlineStr">
        <is>
          <t>No</t>
        </is>
      </c>
      <c r="G439" t="inlineStr">
        <is>
          <t>1</t>
        </is>
      </c>
      <c r="H439" t="inlineStr">
        <is>
          <t>No</t>
        </is>
      </c>
      <c r="I439" t="inlineStr">
        <is>
          <t>No</t>
        </is>
      </c>
      <c r="J439" t="inlineStr">
        <is>
          <t>0</t>
        </is>
      </c>
      <c r="K439" t="inlineStr">
        <is>
          <t>Scott, Henry Joseph, 1917-</t>
        </is>
      </c>
      <c r="L439" t="inlineStr">
        <is>
          <t>New York : Funk &amp; Wagnalls, [1968]</t>
        </is>
      </c>
      <c r="M439" t="inlineStr">
        <is>
          <t>1968</t>
        </is>
      </c>
      <c r="O439" t="inlineStr">
        <is>
          <t>eng</t>
        </is>
      </c>
      <c r="P439" t="inlineStr">
        <is>
          <t>nyu</t>
        </is>
      </c>
      <c r="R439" t="inlineStr">
        <is>
          <t xml:space="preserve">PJ </t>
        </is>
      </c>
      <c r="S439" t="n">
        <v>1</v>
      </c>
      <c r="T439" t="n">
        <v>1</v>
      </c>
      <c r="U439" t="inlineStr">
        <is>
          <t>2008-05-22</t>
        </is>
      </c>
      <c r="V439" t="inlineStr">
        <is>
          <t>2008-05-22</t>
        </is>
      </c>
      <c r="W439" t="inlineStr">
        <is>
          <t>2008-05-22</t>
        </is>
      </c>
      <c r="X439" t="inlineStr">
        <is>
          <t>2008-05-22</t>
        </is>
      </c>
      <c r="Y439" t="n">
        <v>627</v>
      </c>
      <c r="Z439" t="n">
        <v>597</v>
      </c>
      <c r="AA439" t="n">
        <v>870</v>
      </c>
      <c r="AB439" t="n">
        <v>3</v>
      </c>
      <c r="AC439" t="n">
        <v>4</v>
      </c>
      <c r="AD439" t="n">
        <v>6</v>
      </c>
      <c r="AE439" t="n">
        <v>7</v>
      </c>
      <c r="AF439" t="n">
        <v>4</v>
      </c>
      <c r="AG439" t="n">
        <v>4</v>
      </c>
      <c r="AH439" t="n">
        <v>0</v>
      </c>
      <c r="AI439" t="n">
        <v>1</v>
      </c>
      <c r="AJ439" t="n">
        <v>1</v>
      </c>
      <c r="AK439" t="n">
        <v>1</v>
      </c>
      <c r="AL439" t="n">
        <v>1</v>
      </c>
      <c r="AM439" t="n">
        <v>1</v>
      </c>
      <c r="AN439" t="n">
        <v>0</v>
      </c>
      <c r="AO439" t="n">
        <v>0</v>
      </c>
      <c r="AP439" t="inlineStr">
        <is>
          <t>No</t>
        </is>
      </c>
      <c r="AQ439" t="inlineStr">
        <is>
          <t>Yes</t>
        </is>
      </c>
      <c r="AR439">
        <f>HYPERLINK("http://catalog.hathitrust.org/Record/101924551","HathiTrust Record")</f>
        <v/>
      </c>
      <c r="AS439">
        <f>HYPERLINK("https://creighton-primo.hosted.exlibrisgroup.com/primo-explore/search?tab=default_tab&amp;search_scope=EVERYTHING&amp;vid=01CRU&amp;lang=en_US&amp;offset=0&amp;query=any,contains,991005226109702656","Catalog Record")</f>
        <v/>
      </c>
      <c r="AT439">
        <f>HYPERLINK("http://www.worldcat.org/oclc/437622","WorldCat Record")</f>
        <v/>
      </c>
      <c r="AU439" t="inlineStr">
        <is>
          <t>1558953:eng</t>
        </is>
      </c>
      <c r="AV439" t="inlineStr">
        <is>
          <t>437622</t>
        </is>
      </c>
      <c r="AW439" t="inlineStr">
        <is>
          <t>991005226109702656</t>
        </is>
      </c>
      <c r="AX439" t="inlineStr">
        <is>
          <t>991005226109702656</t>
        </is>
      </c>
      <c r="AY439" t="inlineStr">
        <is>
          <t>2267939870002656</t>
        </is>
      </c>
      <c r="AZ439" t="inlineStr">
        <is>
          <t>BOOK</t>
        </is>
      </c>
      <c r="BC439" t="inlineStr">
        <is>
          <t>32285005440325</t>
        </is>
      </c>
      <c r="BD439" t="inlineStr">
        <is>
          <t>893707480</t>
        </is>
      </c>
    </row>
    <row r="440">
      <c r="A440" t="inlineStr">
        <is>
          <t>No</t>
        </is>
      </c>
      <c r="B440" t="inlineStr">
        <is>
          <t>PJ1430 .E62 1974</t>
        </is>
      </c>
      <c r="C440" t="inlineStr">
        <is>
          <t>0                      PJ 1430000E  62          1974</t>
        </is>
      </c>
      <c r="D440" t="inlineStr">
        <is>
          <t>Ägyptisches Handwörterbuch / bearb. und hrsg. von Adolf Erman und Hermann Grapow.</t>
        </is>
      </c>
      <c r="F440" t="inlineStr">
        <is>
          <t>No</t>
        </is>
      </c>
      <c r="G440" t="inlineStr">
        <is>
          <t>1</t>
        </is>
      </c>
      <c r="H440" t="inlineStr">
        <is>
          <t>No</t>
        </is>
      </c>
      <c r="I440" t="inlineStr">
        <is>
          <t>No</t>
        </is>
      </c>
      <c r="J440" t="inlineStr">
        <is>
          <t>0</t>
        </is>
      </c>
      <c r="K440" t="inlineStr">
        <is>
          <t>Erman, Adolf, 1854-1937.</t>
        </is>
      </c>
      <c r="L440" t="inlineStr">
        <is>
          <t>Hildesheim, G. Olms, 1974.</t>
        </is>
      </c>
      <c r="M440" t="inlineStr">
        <is>
          <t>1974</t>
        </is>
      </c>
      <c r="O440" t="inlineStr">
        <is>
          <t>ger</t>
        </is>
      </c>
      <c r="P440" t="inlineStr">
        <is>
          <t xml:space="preserve">xx </t>
        </is>
      </c>
      <c r="R440" t="inlineStr">
        <is>
          <t xml:space="preserve">PJ </t>
        </is>
      </c>
      <c r="S440" t="n">
        <v>1</v>
      </c>
      <c r="T440" t="n">
        <v>1</v>
      </c>
      <c r="U440" t="inlineStr">
        <is>
          <t>2007-02-07</t>
        </is>
      </c>
      <c r="V440" t="inlineStr">
        <is>
          <t>2007-02-07</t>
        </is>
      </c>
      <c r="W440" t="inlineStr">
        <is>
          <t>1997-11-05</t>
        </is>
      </c>
      <c r="X440" t="inlineStr">
        <is>
          <t>1997-11-05</t>
        </is>
      </c>
      <c r="Y440" t="n">
        <v>10</v>
      </c>
      <c r="Z440" t="n">
        <v>6</v>
      </c>
      <c r="AA440" t="n">
        <v>58</v>
      </c>
      <c r="AB440" t="n">
        <v>1</v>
      </c>
      <c r="AC440" t="n">
        <v>1</v>
      </c>
      <c r="AD440" t="n">
        <v>0</v>
      </c>
      <c r="AE440" t="n">
        <v>3</v>
      </c>
      <c r="AF440" t="n">
        <v>0</v>
      </c>
      <c r="AG440" t="n">
        <v>2</v>
      </c>
      <c r="AH440" t="n">
        <v>0</v>
      </c>
      <c r="AI440" t="n">
        <v>1</v>
      </c>
      <c r="AJ440" t="n">
        <v>0</v>
      </c>
      <c r="AK440" t="n">
        <v>0</v>
      </c>
      <c r="AL440" t="n">
        <v>0</v>
      </c>
      <c r="AM440" t="n">
        <v>0</v>
      </c>
      <c r="AN440" t="n">
        <v>0</v>
      </c>
      <c r="AO440" t="n">
        <v>0</v>
      </c>
      <c r="AP440" t="inlineStr">
        <is>
          <t>No</t>
        </is>
      </c>
      <c r="AQ440" t="inlineStr">
        <is>
          <t>No</t>
        </is>
      </c>
      <c r="AS440">
        <f>HYPERLINK("https://creighton-primo.hosted.exlibrisgroup.com/primo-explore/search?tab=default_tab&amp;search_scope=EVERYTHING&amp;vid=01CRU&amp;lang=en_US&amp;offset=0&amp;query=any,contains,991003989449702656","Catalog Record")</f>
        <v/>
      </c>
      <c r="AT440">
        <f>HYPERLINK("http://www.worldcat.org/oclc/2039753","WorldCat Record")</f>
        <v/>
      </c>
      <c r="AU440" t="inlineStr">
        <is>
          <t>7766212:ger</t>
        </is>
      </c>
      <c r="AV440" t="inlineStr">
        <is>
          <t>2039753</t>
        </is>
      </c>
      <c r="AW440" t="inlineStr">
        <is>
          <t>991003989449702656</t>
        </is>
      </c>
      <c r="AX440" t="inlineStr">
        <is>
          <t>991003989449702656</t>
        </is>
      </c>
      <c r="AY440" t="inlineStr">
        <is>
          <t>2266305160002656</t>
        </is>
      </c>
      <c r="AZ440" t="inlineStr">
        <is>
          <t>BOOK</t>
        </is>
      </c>
      <c r="BC440" t="inlineStr">
        <is>
          <t>32285003275772</t>
        </is>
      </c>
      <c r="BD440" t="inlineStr">
        <is>
          <t>893881911</t>
        </is>
      </c>
    </row>
    <row r="441">
      <c r="A441" t="inlineStr">
        <is>
          <t>No</t>
        </is>
      </c>
      <c r="B441" t="inlineStr">
        <is>
          <t>PJ1551 .E3 v. 1</t>
        </is>
      </c>
      <c r="C441" t="inlineStr">
        <is>
          <t>0                      PJ 1551000E  3                                                       v. 1</t>
        </is>
      </c>
      <c r="D441" t="inlineStr">
        <is>
          <t>The Tomb of Ramesses VI / texts translated with introductions by Alexandre Piankoff ; edited by N. Rambova.</t>
        </is>
      </c>
      <c r="E441" t="inlineStr">
        <is>
          <t>V.1 PT.1</t>
        </is>
      </c>
      <c r="F441" t="inlineStr">
        <is>
          <t>Yes</t>
        </is>
      </c>
      <c r="G441" t="inlineStr">
        <is>
          <t>1</t>
        </is>
      </c>
      <c r="H441" t="inlineStr">
        <is>
          <t>No</t>
        </is>
      </c>
      <c r="I441" t="inlineStr">
        <is>
          <t>No</t>
        </is>
      </c>
      <c r="J441" t="inlineStr">
        <is>
          <t>0</t>
        </is>
      </c>
      <c r="L441" t="inlineStr">
        <is>
          <t>[New York] : Pantheon Books, [1954]</t>
        </is>
      </c>
      <c r="M441" t="inlineStr">
        <is>
          <t>1954</t>
        </is>
      </c>
      <c r="O441" t="inlineStr">
        <is>
          <t>eng</t>
        </is>
      </c>
      <c r="P441" t="inlineStr">
        <is>
          <t>nyu</t>
        </is>
      </c>
      <c r="Q441" t="inlineStr">
        <is>
          <t>Bollingen series, 40:1. Egyptian religious texts and representations, v. 1</t>
        </is>
      </c>
      <c r="R441" t="inlineStr">
        <is>
          <t xml:space="preserve">PJ </t>
        </is>
      </c>
      <c r="S441" t="n">
        <v>4</v>
      </c>
      <c r="T441" t="n">
        <v>4</v>
      </c>
      <c r="U441" t="inlineStr">
        <is>
          <t>1994-10-22</t>
        </is>
      </c>
      <c r="V441" t="inlineStr">
        <is>
          <t>1994-10-22</t>
        </is>
      </c>
      <c r="W441" t="inlineStr">
        <is>
          <t>1993-04-30</t>
        </is>
      </c>
      <c r="X441" t="inlineStr">
        <is>
          <t>1993-04-30</t>
        </is>
      </c>
      <c r="Y441" t="n">
        <v>466</v>
      </c>
      <c r="Z441" t="n">
        <v>398</v>
      </c>
      <c r="AA441" t="n">
        <v>404</v>
      </c>
      <c r="AB441" t="n">
        <v>3</v>
      </c>
      <c r="AC441" t="n">
        <v>3</v>
      </c>
      <c r="AD441" t="n">
        <v>14</v>
      </c>
      <c r="AE441" t="n">
        <v>14</v>
      </c>
      <c r="AF441" t="n">
        <v>4</v>
      </c>
      <c r="AG441" t="n">
        <v>4</v>
      </c>
      <c r="AH441" t="n">
        <v>4</v>
      </c>
      <c r="AI441" t="n">
        <v>4</v>
      </c>
      <c r="AJ441" t="n">
        <v>8</v>
      </c>
      <c r="AK441" t="n">
        <v>8</v>
      </c>
      <c r="AL441" t="n">
        <v>2</v>
      </c>
      <c r="AM441" t="n">
        <v>2</v>
      </c>
      <c r="AN441" t="n">
        <v>0</v>
      </c>
      <c r="AO441" t="n">
        <v>0</v>
      </c>
      <c r="AP441" t="inlineStr">
        <is>
          <t>No</t>
        </is>
      </c>
      <c r="AQ441" t="inlineStr">
        <is>
          <t>Yes</t>
        </is>
      </c>
      <c r="AR441">
        <f>HYPERLINK("http://catalog.hathitrust.org/Record/001647531","HathiTrust Record")</f>
        <v/>
      </c>
      <c r="AS441">
        <f>HYPERLINK("https://creighton-primo.hosted.exlibrisgroup.com/primo-explore/search?tab=default_tab&amp;search_scope=EVERYTHING&amp;vid=01CRU&amp;lang=en_US&amp;offset=0&amp;query=any,contains,991003562289702656","Catalog Record")</f>
        <v/>
      </c>
      <c r="AT441">
        <f>HYPERLINK("http://www.worldcat.org/oclc/1133571","WorldCat Record")</f>
        <v/>
      </c>
      <c r="AU441" t="inlineStr">
        <is>
          <t>350717759:eng</t>
        </is>
      </c>
      <c r="AV441" t="inlineStr">
        <is>
          <t>1133571</t>
        </is>
      </c>
      <c r="AW441" t="inlineStr">
        <is>
          <t>991003562289702656</t>
        </is>
      </c>
      <c r="AX441" t="inlineStr">
        <is>
          <t>991003562289702656</t>
        </is>
      </c>
      <c r="AY441" t="inlineStr">
        <is>
          <t>2268033480002656</t>
        </is>
      </c>
      <c r="AZ441" t="inlineStr">
        <is>
          <t>BOOK</t>
        </is>
      </c>
      <c r="BC441" t="inlineStr">
        <is>
          <t>32285001670362</t>
        </is>
      </c>
      <c r="BD441" t="inlineStr">
        <is>
          <t>893499428</t>
        </is>
      </c>
    </row>
    <row r="442">
      <c r="A442" t="inlineStr">
        <is>
          <t>No</t>
        </is>
      </c>
      <c r="B442" t="inlineStr">
        <is>
          <t>PJ1551 .E3 v. 1</t>
        </is>
      </c>
      <c r="C442" t="inlineStr">
        <is>
          <t>0                      PJ 1551000E  3                                                       v. 1</t>
        </is>
      </c>
      <c r="D442" t="inlineStr">
        <is>
          <t>The Tomb of Ramesses VI / texts translated with introductions by Alexandre Piankoff ; edited by N. Rambova.</t>
        </is>
      </c>
      <c r="E442" t="inlineStr">
        <is>
          <t>V.1 PT.2</t>
        </is>
      </c>
      <c r="F442" t="inlineStr">
        <is>
          <t>Yes</t>
        </is>
      </c>
      <c r="G442" t="inlineStr">
        <is>
          <t>1</t>
        </is>
      </c>
      <c r="H442" t="inlineStr">
        <is>
          <t>No</t>
        </is>
      </c>
      <c r="I442" t="inlineStr">
        <is>
          <t>No</t>
        </is>
      </c>
      <c r="J442" t="inlineStr">
        <is>
          <t>0</t>
        </is>
      </c>
      <c r="L442" t="inlineStr">
        <is>
          <t>[New York] : Pantheon Books, [1954]</t>
        </is>
      </c>
      <c r="M442" t="inlineStr">
        <is>
          <t>1954</t>
        </is>
      </c>
      <c r="O442" t="inlineStr">
        <is>
          <t>eng</t>
        </is>
      </c>
      <c r="P442" t="inlineStr">
        <is>
          <t>nyu</t>
        </is>
      </c>
      <c r="Q442" t="inlineStr">
        <is>
          <t>Bollingen series, 40:1. Egyptian religious texts and representations, v. 1</t>
        </is>
      </c>
      <c r="R442" t="inlineStr">
        <is>
          <t xml:space="preserve">PJ </t>
        </is>
      </c>
      <c r="S442" t="n">
        <v>0</v>
      </c>
      <c r="T442" t="n">
        <v>4</v>
      </c>
      <c r="V442" t="inlineStr">
        <is>
          <t>1994-10-22</t>
        </is>
      </c>
      <c r="W442" t="inlineStr">
        <is>
          <t>1993-04-30</t>
        </is>
      </c>
      <c r="X442" t="inlineStr">
        <is>
          <t>1993-04-30</t>
        </is>
      </c>
      <c r="Y442" t="n">
        <v>466</v>
      </c>
      <c r="Z442" t="n">
        <v>398</v>
      </c>
      <c r="AA442" t="n">
        <v>404</v>
      </c>
      <c r="AB442" t="n">
        <v>3</v>
      </c>
      <c r="AC442" t="n">
        <v>3</v>
      </c>
      <c r="AD442" t="n">
        <v>14</v>
      </c>
      <c r="AE442" t="n">
        <v>14</v>
      </c>
      <c r="AF442" t="n">
        <v>4</v>
      </c>
      <c r="AG442" t="n">
        <v>4</v>
      </c>
      <c r="AH442" t="n">
        <v>4</v>
      </c>
      <c r="AI442" t="n">
        <v>4</v>
      </c>
      <c r="AJ442" t="n">
        <v>8</v>
      </c>
      <c r="AK442" t="n">
        <v>8</v>
      </c>
      <c r="AL442" t="n">
        <v>2</v>
      </c>
      <c r="AM442" t="n">
        <v>2</v>
      </c>
      <c r="AN442" t="n">
        <v>0</v>
      </c>
      <c r="AO442" t="n">
        <v>0</v>
      </c>
      <c r="AP442" t="inlineStr">
        <is>
          <t>No</t>
        </is>
      </c>
      <c r="AQ442" t="inlineStr">
        <is>
          <t>Yes</t>
        </is>
      </c>
      <c r="AR442">
        <f>HYPERLINK("http://catalog.hathitrust.org/Record/001647531","HathiTrust Record")</f>
        <v/>
      </c>
      <c r="AS442">
        <f>HYPERLINK("https://creighton-primo.hosted.exlibrisgroup.com/primo-explore/search?tab=default_tab&amp;search_scope=EVERYTHING&amp;vid=01CRU&amp;lang=en_US&amp;offset=0&amp;query=any,contains,991003562289702656","Catalog Record")</f>
        <v/>
      </c>
      <c r="AT442">
        <f>HYPERLINK("http://www.worldcat.org/oclc/1133571","WorldCat Record")</f>
        <v/>
      </c>
      <c r="AU442" t="inlineStr">
        <is>
          <t>350717759:eng</t>
        </is>
      </c>
      <c r="AV442" t="inlineStr">
        <is>
          <t>1133571</t>
        </is>
      </c>
      <c r="AW442" t="inlineStr">
        <is>
          <t>991003562289702656</t>
        </is>
      </c>
      <c r="AX442" t="inlineStr">
        <is>
          <t>991003562289702656</t>
        </is>
      </c>
      <c r="AY442" t="inlineStr">
        <is>
          <t>2268033480002656</t>
        </is>
      </c>
      <c r="AZ442" t="inlineStr">
        <is>
          <t>BOOK</t>
        </is>
      </c>
      <c r="BC442" t="inlineStr">
        <is>
          <t>32285001670370</t>
        </is>
      </c>
      <c r="BD442" t="inlineStr">
        <is>
          <t>893499427</t>
        </is>
      </c>
    </row>
    <row r="443">
      <c r="A443" t="inlineStr">
        <is>
          <t>No</t>
        </is>
      </c>
      <c r="B443" t="inlineStr">
        <is>
          <t>PJ1551 .E3 v. 2</t>
        </is>
      </c>
      <c r="C443" t="inlineStr">
        <is>
          <t>0                      PJ 1551000E  3                                                       v. 2</t>
        </is>
      </c>
      <c r="D443" t="inlineStr">
        <is>
          <t>The Shrines of Tut-Ankh-Amon / texts translated with introductions by Alexandre Piankoff. Edited by N. Rambova.</t>
        </is>
      </c>
      <c r="E443" t="inlineStr">
        <is>
          <t>V.2</t>
        </is>
      </c>
      <c r="F443" t="inlineStr">
        <is>
          <t>No</t>
        </is>
      </c>
      <c r="G443" t="inlineStr">
        <is>
          <t>1</t>
        </is>
      </c>
      <c r="H443" t="inlineStr">
        <is>
          <t>No</t>
        </is>
      </c>
      <c r="I443" t="inlineStr">
        <is>
          <t>No</t>
        </is>
      </c>
      <c r="J443" t="inlineStr">
        <is>
          <t>0</t>
        </is>
      </c>
      <c r="L443" t="inlineStr">
        <is>
          <t>[New York] : Pantheon Books, [1955]</t>
        </is>
      </c>
      <c r="M443" t="inlineStr">
        <is>
          <t>1955</t>
        </is>
      </c>
      <c r="O443" t="inlineStr">
        <is>
          <t>eng</t>
        </is>
      </c>
      <c r="P443" t="inlineStr">
        <is>
          <t>nyu</t>
        </is>
      </c>
      <c r="Q443" t="inlineStr">
        <is>
          <t>Bollingen series, 40:2. Egyptian religious texts and representations, v. 2</t>
        </is>
      </c>
      <c r="R443" t="inlineStr">
        <is>
          <t xml:space="preserve">PJ </t>
        </is>
      </c>
      <c r="S443" t="n">
        <v>3</v>
      </c>
      <c r="T443" t="n">
        <v>3</v>
      </c>
      <c r="U443" t="inlineStr">
        <is>
          <t>1995-01-29</t>
        </is>
      </c>
      <c r="V443" t="inlineStr">
        <is>
          <t>1995-01-29</t>
        </is>
      </c>
      <c r="W443" t="inlineStr">
        <is>
          <t>1992-07-03</t>
        </is>
      </c>
      <c r="X443" t="inlineStr">
        <is>
          <t>1992-07-03</t>
        </is>
      </c>
      <c r="Y443" t="n">
        <v>418</v>
      </c>
      <c r="Z443" t="n">
        <v>369</v>
      </c>
      <c r="AA443" t="n">
        <v>490</v>
      </c>
      <c r="AB443" t="n">
        <v>3</v>
      </c>
      <c r="AC443" t="n">
        <v>3</v>
      </c>
      <c r="AD443" t="n">
        <v>14</v>
      </c>
      <c r="AE443" t="n">
        <v>14</v>
      </c>
      <c r="AF443" t="n">
        <v>4</v>
      </c>
      <c r="AG443" t="n">
        <v>4</v>
      </c>
      <c r="AH443" t="n">
        <v>3</v>
      </c>
      <c r="AI443" t="n">
        <v>3</v>
      </c>
      <c r="AJ443" t="n">
        <v>7</v>
      </c>
      <c r="AK443" t="n">
        <v>7</v>
      </c>
      <c r="AL443" t="n">
        <v>2</v>
      </c>
      <c r="AM443" t="n">
        <v>2</v>
      </c>
      <c r="AN443" t="n">
        <v>0</v>
      </c>
      <c r="AO443" t="n">
        <v>0</v>
      </c>
      <c r="AP443" t="inlineStr">
        <is>
          <t>No</t>
        </is>
      </c>
      <c r="AQ443" t="inlineStr">
        <is>
          <t>Yes</t>
        </is>
      </c>
      <c r="AR443">
        <f>HYPERLINK("http://catalog.hathitrust.org/Record/101964195","HathiTrust Record")</f>
        <v/>
      </c>
      <c r="AS443">
        <f>HYPERLINK("https://creighton-primo.hosted.exlibrisgroup.com/primo-explore/search?tab=default_tab&amp;search_scope=EVERYTHING&amp;vid=01CRU&amp;lang=en_US&amp;offset=0&amp;query=any,contains,991003413109702656","Catalog Record")</f>
        <v/>
      </c>
      <c r="AT443">
        <f>HYPERLINK("http://www.worldcat.org/oclc/951575","WorldCat Record")</f>
        <v/>
      </c>
      <c r="AU443" t="inlineStr">
        <is>
          <t>353624580:eng</t>
        </is>
      </c>
      <c r="AV443" t="inlineStr">
        <is>
          <t>951575</t>
        </is>
      </c>
      <c r="AW443" t="inlineStr">
        <is>
          <t>991003413109702656</t>
        </is>
      </c>
      <c r="AX443" t="inlineStr">
        <is>
          <t>991003413109702656</t>
        </is>
      </c>
      <c r="AY443" t="inlineStr">
        <is>
          <t>2263916500002656</t>
        </is>
      </c>
      <c r="AZ443" t="inlineStr">
        <is>
          <t>BOOK</t>
        </is>
      </c>
      <c r="BC443" t="inlineStr">
        <is>
          <t>32285001148658</t>
        </is>
      </c>
      <c r="BD443" t="inlineStr">
        <is>
          <t>893416349</t>
        </is>
      </c>
    </row>
    <row r="444">
      <c r="A444" t="inlineStr">
        <is>
          <t>No</t>
        </is>
      </c>
      <c r="B444" t="inlineStr">
        <is>
          <t>PJ1551 .E3 v. 5</t>
        </is>
      </c>
      <c r="C444" t="inlineStr">
        <is>
          <t>0                      PJ 1551000E  3                                                       v. 5</t>
        </is>
      </c>
      <c r="D444" t="inlineStr">
        <is>
          <t>The pyramid of Unas / texts translated with commentary by Alexandre Piankoff.</t>
        </is>
      </c>
      <c r="E444" t="inlineStr">
        <is>
          <t>V.5</t>
        </is>
      </c>
      <c r="F444" t="inlineStr">
        <is>
          <t>No</t>
        </is>
      </c>
      <c r="G444" t="inlineStr">
        <is>
          <t>1</t>
        </is>
      </c>
      <c r="H444" t="inlineStr">
        <is>
          <t>No</t>
        </is>
      </c>
      <c r="I444" t="inlineStr">
        <is>
          <t>No</t>
        </is>
      </c>
      <c r="J444" t="inlineStr">
        <is>
          <t>0</t>
        </is>
      </c>
      <c r="K444" t="inlineStr">
        <is>
          <t>Pyramid texts.</t>
        </is>
      </c>
      <c r="L444" t="inlineStr">
        <is>
          <t>[Princeton, N.J.] : Princeton University Press, [1968]</t>
        </is>
      </c>
      <c r="M444" t="inlineStr">
        <is>
          <t>1968</t>
        </is>
      </c>
      <c r="O444" t="inlineStr">
        <is>
          <t>eng</t>
        </is>
      </c>
      <c r="P444" t="inlineStr">
        <is>
          <t>nju</t>
        </is>
      </c>
      <c r="Q444" t="inlineStr">
        <is>
          <t>Bollingen series, 40:5. Egyptian religious texts and representations ; v. 5</t>
        </is>
      </c>
      <c r="R444" t="inlineStr">
        <is>
          <t xml:space="preserve">PJ </t>
        </is>
      </c>
      <c r="S444" t="n">
        <v>2</v>
      </c>
      <c r="T444" t="n">
        <v>2</v>
      </c>
      <c r="U444" t="inlineStr">
        <is>
          <t>1999-03-17</t>
        </is>
      </c>
      <c r="V444" t="inlineStr">
        <is>
          <t>1999-03-17</t>
        </is>
      </c>
      <c r="W444" t="inlineStr">
        <is>
          <t>1993-04-30</t>
        </is>
      </c>
      <c r="X444" t="inlineStr">
        <is>
          <t>1993-04-30</t>
        </is>
      </c>
      <c r="Y444" t="n">
        <v>336</v>
      </c>
      <c r="Z444" t="n">
        <v>316</v>
      </c>
      <c r="AA444" t="n">
        <v>321</v>
      </c>
      <c r="AB444" t="n">
        <v>3</v>
      </c>
      <c r="AC444" t="n">
        <v>3</v>
      </c>
      <c r="AD444" t="n">
        <v>13</v>
      </c>
      <c r="AE444" t="n">
        <v>13</v>
      </c>
      <c r="AF444" t="n">
        <v>3</v>
      </c>
      <c r="AG444" t="n">
        <v>3</v>
      </c>
      <c r="AH444" t="n">
        <v>2</v>
      </c>
      <c r="AI444" t="n">
        <v>2</v>
      </c>
      <c r="AJ444" t="n">
        <v>8</v>
      </c>
      <c r="AK444" t="n">
        <v>8</v>
      </c>
      <c r="AL444" t="n">
        <v>2</v>
      </c>
      <c r="AM444" t="n">
        <v>2</v>
      </c>
      <c r="AN444" t="n">
        <v>0</v>
      </c>
      <c r="AO444" t="n">
        <v>0</v>
      </c>
      <c r="AP444" t="inlineStr">
        <is>
          <t>No</t>
        </is>
      </c>
      <c r="AQ444" t="inlineStr">
        <is>
          <t>No</t>
        </is>
      </c>
      <c r="AS444">
        <f>HYPERLINK("https://creighton-primo.hosted.exlibrisgroup.com/primo-explore/search?tab=default_tab&amp;search_scope=EVERYTHING&amp;vid=01CRU&amp;lang=en_US&amp;offset=0&amp;query=any,contains,991002188459702656","Catalog Record")</f>
        <v/>
      </c>
      <c r="AT444">
        <f>HYPERLINK("http://www.worldcat.org/oclc/280490","WorldCat Record")</f>
        <v/>
      </c>
      <c r="AU444" t="inlineStr">
        <is>
          <t>351442921:eng</t>
        </is>
      </c>
      <c r="AV444" t="inlineStr">
        <is>
          <t>280490</t>
        </is>
      </c>
      <c r="AW444" t="inlineStr">
        <is>
          <t>991002188459702656</t>
        </is>
      </c>
      <c r="AX444" t="inlineStr">
        <is>
          <t>991002188459702656</t>
        </is>
      </c>
      <c r="AY444" t="inlineStr">
        <is>
          <t>2265220530002656</t>
        </is>
      </c>
      <c r="AZ444" t="inlineStr">
        <is>
          <t>BOOK</t>
        </is>
      </c>
      <c r="BC444" t="inlineStr">
        <is>
          <t>32285001670396</t>
        </is>
      </c>
      <c r="BD444" t="inlineStr">
        <is>
          <t>893408793</t>
        </is>
      </c>
    </row>
    <row r="445">
      <c r="A445" t="inlineStr">
        <is>
          <t>No</t>
        </is>
      </c>
      <c r="B445" t="inlineStr">
        <is>
          <t>PJ1551 .H67 1999</t>
        </is>
      </c>
      <c r="C445" t="inlineStr">
        <is>
          <t>0                      PJ 1551000H  67          1999</t>
        </is>
      </c>
      <c r="D445" t="inlineStr">
        <is>
          <t>The ancient Egyptian books of the afterlife / Erik Hornung ; translated from the German by David Lorton.</t>
        </is>
      </c>
      <c r="F445" t="inlineStr">
        <is>
          <t>No</t>
        </is>
      </c>
      <c r="G445" t="inlineStr">
        <is>
          <t>1</t>
        </is>
      </c>
      <c r="H445" t="inlineStr">
        <is>
          <t>No</t>
        </is>
      </c>
      <c r="I445" t="inlineStr">
        <is>
          <t>No</t>
        </is>
      </c>
      <c r="J445" t="inlineStr">
        <is>
          <t>0</t>
        </is>
      </c>
      <c r="K445" t="inlineStr">
        <is>
          <t>Hornung, Erik.</t>
        </is>
      </c>
      <c r="L445" t="inlineStr">
        <is>
          <t>Ithaca, N.Y. : Cornell University Press, c1999.</t>
        </is>
      </c>
      <c r="M445" t="inlineStr">
        <is>
          <t>1999</t>
        </is>
      </c>
      <c r="O445" t="inlineStr">
        <is>
          <t>eng</t>
        </is>
      </c>
      <c r="P445" t="inlineStr">
        <is>
          <t>nyu</t>
        </is>
      </c>
      <c r="R445" t="inlineStr">
        <is>
          <t xml:space="preserve">PJ </t>
        </is>
      </c>
      <c r="S445" t="n">
        <v>5</v>
      </c>
      <c r="T445" t="n">
        <v>5</v>
      </c>
      <c r="U445" t="inlineStr">
        <is>
          <t>2003-03-19</t>
        </is>
      </c>
      <c r="V445" t="inlineStr">
        <is>
          <t>2003-03-19</t>
        </is>
      </c>
      <c r="W445" t="inlineStr">
        <is>
          <t>2000-10-05</t>
        </is>
      </c>
      <c r="X445" t="inlineStr">
        <is>
          <t>2000-10-05</t>
        </is>
      </c>
      <c r="Y445" t="n">
        <v>476</v>
      </c>
      <c r="Z445" t="n">
        <v>391</v>
      </c>
      <c r="AA445" t="n">
        <v>396</v>
      </c>
      <c r="AB445" t="n">
        <v>3</v>
      </c>
      <c r="AC445" t="n">
        <v>3</v>
      </c>
      <c r="AD445" t="n">
        <v>16</v>
      </c>
      <c r="AE445" t="n">
        <v>16</v>
      </c>
      <c r="AF445" t="n">
        <v>4</v>
      </c>
      <c r="AG445" t="n">
        <v>4</v>
      </c>
      <c r="AH445" t="n">
        <v>5</v>
      </c>
      <c r="AI445" t="n">
        <v>5</v>
      </c>
      <c r="AJ445" t="n">
        <v>9</v>
      </c>
      <c r="AK445" t="n">
        <v>9</v>
      </c>
      <c r="AL445" t="n">
        <v>2</v>
      </c>
      <c r="AM445" t="n">
        <v>2</v>
      </c>
      <c r="AN445" t="n">
        <v>0</v>
      </c>
      <c r="AO445" t="n">
        <v>0</v>
      </c>
      <c r="AP445" t="inlineStr">
        <is>
          <t>No</t>
        </is>
      </c>
      <c r="AQ445" t="inlineStr">
        <is>
          <t>No</t>
        </is>
      </c>
      <c r="AS445">
        <f>HYPERLINK("https://creighton-primo.hosted.exlibrisgroup.com/primo-explore/search?tab=default_tab&amp;search_scope=EVERYTHING&amp;vid=01CRU&amp;lang=en_US&amp;offset=0&amp;query=any,contains,991003256819702656","Catalog Record")</f>
        <v/>
      </c>
      <c r="AT445">
        <f>HYPERLINK("http://www.worldcat.org/oclc/40632350","WorldCat Record")</f>
        <v/>
      </c>
      <c r="AU445" t="inlineStr">
        <is>
          <t>502469254:eng</t>
        </is>
      </c>
      <c r="AV445" t="inlineStr">
        <is>
          <t>40632350</t>
        </is>
      </c>
      <c r="AW445" t="inlineStr">
        <is>
          <t>991003256819702656</t>
        </is>
      </c>
      <c r="AX445" t="inlineStr">
        <is>
          <t>991003256819702656</t>
        </is>
      </c>
      <c r="AY445" t="inlineStr">
        <is>
          <t>2268375000002656</t>
        </is>
      </c>
      <c r="AZ445" t="inlineStr">
        <is>
          <t>BOOK</t>
        </is>
      </c>
      <c r="BB445" t="inlineStr">
        <is>
          <t>9780801435157</t>
        </is>
      </c>
      <c r="BC445" t="inlineStr">
        <is>
          <t>32285003766903</t>
        </is>
      </c>
      <c r="BD445" t="inlineStr">
        <is>
          <t>893499114</t>
        </is>
      </c>
    </row>
    <row r="446">
      <c r="A446" t="inlineStr">
        <is>
          <t>No</t>
        </is>
      </c>
      <c r="B446" t="inlineStr">
        <is>
          <t>PJ1551 E3 v. 4</t>
        </is>
      </c>
      <c r="C446" t="inlineStr">
        <is>
          <t>0                      PJ 1551000E  3                                                       v. 4</t>
        </is>
      </c>
      <c r="D446" t="inlineStr">
        <is>
          <t>The Litany of Re / texts translated with commentary by Alexandre Piankoff.</t>
        </is>
      </c>
      <c r="E446" t="inlineStr">
        <is>
          <t>V.4</t>
        </is>
      </c>
      <c r="F446" t="inlineStr">
        <is>
          <t>No</t>
        </is>
      </c>
      <c r="G446" t="inlineStr">
        <is>
          <t>1</t>
        </is>
      </c>
      <c r="H446" t="inlineStr">
        <is>
          <t>No</t>
        </is>
      </c>
      <c r="I446" t="inlineStr">
        <is>
          <t>No</t>
        </is>
      </c>
      <c r="J446" t="inlineStr">
        <is>
          <t>0</t>
        </is>
      </c>
      <c r="K446" t="inlineStr">
        <is>
          <t>Litany of the sun.</t>
        </is>
      </c>
      <c r="L446" t="inlineStr">
        <is>
          <t>[New York : Bollingen Foundation ; distributed by] Pantheon Books [1964]</t>
        </is>
      </c>
      <c r="M446" t="inlineStr">
        <is>
          <t>1964</t>
        </is>
      </c>
      <c r="O446" t="inlineStr">
        <is>
          <t>eng</t>
        </is>
      </c>
      <c r="P446" t="inlineStr">
        <is>
          <t>nyu</t>
        </is>
      </c>
      <c r="Q446" t="inlineStr">
        <is>
          <t>Bollingen series, 40:4. Egyptian religious texts and representations ; v. 4</t>
        </is>
      </c>
      <c r="R446" t="inlineStr">
        <is>
          <t xml:space="preserve">PJ </t>
        </is>
      </c>
      <c r="S446" t="n">
        <v>0</v>
      </c>
      <c r="T446" t="n">
        <v>0</v>
      </c>
      <c r="U446" t="inlineStr">
        <is>
          <t>2002-06-04</t>
        </is>
      </c>
      <c r="V446" t="inlineStr">
        <is>
          <t>2002-06-04</t>
        </is>
      </c>
      <c r="W446" t="inlineStr">
        <is>
          <t>1993-04-30</t>
        </is>
      </c>
      <c r="X446" t="inlineStr">
        <is>
          <t>1993-04-30</t>
        </is>
      </c>
      <c r="Y446" t="n">
        <v>391</v>
      </c>
      <c r="Z446" t="n">
        <v>337</v>
      </c>
      <c r="AA446" t="n">
        <v>338</v>
      </c>
      <c r="AB446" t="n">
        <v>3</v>
      </c>
      <c r="AC446" t="n">
        <v>3</v>
      </c>
      <c r="AD446" t="n">
        <v>14</v>
      </c>
      <c r="AE446" t="n">
        <v>14</v>
      </c>
      <c r="AF446" t="n">
        <v>4</v>
      </c>
      <c r="AG446" t="n">
        <v>4</v>
      </c>
      <c r="AH446" t="n">
        <v>3</v>
      </c>
      <c r="AI446" t="n">
        <v>3</v>
      </c>
      <c r="AJ446" t="n">
        <v>9</v>
      </c>
      <c r="AK446" t="n">
        <v>9</v>
      </c>
      <c r="AL446" t="n">
        <v>2</v>
      </c>
      <c r="AM446" t="n">
        <v>2</v>
      </c>
      <c r="AN446" t="n">
        <v>0</v>
      </c>
      <c r="AO446" t="n">
        <v>0</v>
      </c>
      <c r="AP446" t="inlineStr">
        <is>
          <t>No</t>
        </is>
      </c>
      <c r="AQ446" t="inlineStr">
        <is>
          <t>Yes</t>
        </is>
      </c>
      <c r="AR446">
        <f>HYPERLINK("http://catalog.hathitrust.org/Record/101964196","HathiTrust Record")</f>
        <v/>
      </c>
      <c r="AS446">
        <f>HYPERLINK("https://creighton-primo.hosted.exlibrisgroup.com/primo-explore/search?tab=default_tab&amp;search_scope=EVERYTHING&amp;vid=01CRU&amp;lang=en_US&amp;offset=0&amp;query=any,contains,991003208759702656","Catalog Record")</f>
        <v/>
      </c>
      <c r="AT446">
        <f>HYPERLINK("http://www.worldcat.org/oclc/734552","WorldCat Record")</f>
        <v/>
      </c>
      <c r="AU446" t="inlineStr">
        <is>
          <t>111965802:eng</t>
        </is>
      </c>
      <c r="AV446" t="inlineStr">
        <is>
          <t>734552</t>
        </is>
      </c>
      <c r="AW446" t="inlineStr">
        <is>
          <t>991003208759702656</t>
        </is>
      </c>
      <c r="AX446" t="inlineStr">
        <is>
          <t>991003208759702656</t>
        </is>
      </c>
      <c r="AY446" t="inlineStr">
        <is>
          <t>2259581180002656</t>
        </is>
      </c>
      <c r="AZ446" t="inlineStr">
        <is>
          <t>BOOK</t>
        </is>
      </c>
      <c r="BC446" t="inlineStr">
        <is>
          <t>32285001670388</t>
        </is>
      </c>
      <c r="BD446" t="inlineStr">
        <is>
          <t>893711140</t>
        </is>
      </c>
    </row>
    <row r="447">
      <c r="A447" t="inlineStr">
        <is>
          <t>No</t>
        </is>
      </c>
      <c r="B447" t="inlineStr">
        <is>
          <t>PJ1559 .A704</t>
        </is>
      </c>
      <c r="C447" t="inlineStr">
        <is>
          <t>0                      PJ 1559000A  704</t>
        </is>
      </c>
      <c r="D447" t="inlineStr">
        <is>
          <t>The wisdom of Egypt &amp; the Old Testament : in the light of the newly discovered 'Teaching of Amen-em-ope" / by W. O. E. Oesterley.</t>
        </is>
      </c>
      <c r="F447" t="inlineStr">
        <is>
          <t>No</t>
        </is>
      </c>
      <c r="G447" t="inlineStr">
        <is>
          <t>1</t>
        </is>
      </c>
      <c r="H447" t="inlineStr">
        <is>
          <t>No</t>
        </is>
      </c>
      <c r="I447" t="inlineStr">
        <is>
          <t>No</t>
        </is>
      </c>
      <c r="J447" t="inlineStr">
        <is>
          <t>0</t>
        </is>
      </c>
      <c r="K447" t="inlineStr">
        <is>
          <t>Oesterley, W. O. E. (William Oscar Emil), 1866-1950.</t>
        </is>
      </c>
      <c r="L447" t="inlineStr">
        <is>
          <t>London : Society for Promoting Christian Knowledge ; New York; Toronto : Macmillan, 1927.</t>
        </is>
      </c>
      <c r="M447" t="inlineStr">
        <is>
          <t>1927</t>
        </is>
      </c>
      <c r="O447" t="inlineStr">
        <is>
          <t>eng</t>
        </is>
      </c>
      <c r="P447" t="inlineStr">
        <is>
          <t>enk</t>
        </is>
      </c>
      <c r="R447" t="inlineStr">
        <is>
          <t xml:space="preserve">PJ </t>
        </is>
      </c>
      <c r="S447" t="n">
        <v>3</v>
      </c>
      <c r="T447" t="n">
        <v>3</v>
      </c>
      <c r="U447" t="inlineStr">
        <is>
          <t>1999-02-01</t>
        </is>
      </c>
      <c r="V447" t="inlineStr">
        <is>
          <t>1999-02-01</t>
        </is>
      </c>
      <c r="W447" t="inlineStr">
        <is>
          <t>1997-09-11</t>
        </is>
      </c>
      <c r="X447" t="inlineStr">
        <is>
          <t>1997-09-11</t>
        </is>
      </c>
      <c r="Y447" t="n">
        <v>175</v>
      </c>
      <c r="Z447" t="n">
        <v>126</v>
      </c>
      <c r="AA447" t="n">
        <v>142</v>
      </c>
      <c r="AB447" t="n">
        <v>1</v>
      </c>
      <c r="AC447" t="n">
        <v>1</v>
      </c>
      <c r="AD447" t="n">
        <v>6</v>
      </c>
      <c r="AE447" t="n">
        <v>6</v>
      </c>
      <c r="AF447" t="n">
        <v>2</v>
      </c>
      <c r="AG447" t="n">
        <v>2</v>
      </c>
      <c r="AH447" t="n">
        <v>2</v>
      </c>
      <c r="AI447" t="n">
        <v>2</v>
      </c>
      <c r="AJ447" t="n">
        <v>3</v>
      </c>
      <c r="AK447" t="n">
        <v>3</v>
      </c>
      <c r="AL447" t="n">
        <v>0</v>
      </c>
      <c r="AM447" t="n">
        <v>0</v>
      </c>
      <c r="AN447" t="n">
        <v>0</v>
      </c>
      <c r="AO447" t="n">
        <v>0</v>
      </c>
      <c r="AP447" t="inlineStr">
        <is>
          <t>No</t>
        </is>
      </c>
      <c r="AQ447" t="inlineStr">
        <is>
          <t>No</t>
        </is>
      </c>
      <c r="AS447">
        <f>HYPERLINK("https://creighton-primo.hosted.exlibrisgroup.com/primo-explore/search?tab=default_tab&amp;search_scope=EVERYTHING&amp;vid=01CRU&amp;lang=en_US&amp;offset=0&amp;query=any,contains,991004169319702656","Catalog Record")</f>
        <v/>
      </c>
      <c r="AT447">
        <f>HYPERLINK("http://www.worldcat.org/oclc/2576475","WorldCat Record")</f>
        <v/>
      </c>
      <c r="AU447" t="inlineStr">
        <is>
          <t>30632489:eng</t>
        </is>
      </c>
      <c r="AV447" t="inlineStr">
        <is>
          <t>2576475</t>
        </is>
      </c>
      <c r="AW447" t="inlineStr">
        <is>
          <t>991004169319702656</t>
        </is>
      </c>
      <c r="AX447" t="inlineStr">
        <is>
          <t>991004169319702656</t>
        </is>
      </c>
      <c r="AY447" t="inlineStr">
        <is>
          <t>2254915740002656</t>
        </is>
      </c>
      <c r="AZ447" t="inlineStr">
        <is>
          <t>BOOK</t>
        </is>
      </c>
      <c r="BC447" t="inlineStr">
        <is>
          <t>32285003222477</t>
        </is>
      </c>
      <c r="BD447" t="inlineStr">
        <is>
          <t>893699939</t>
        </is>
      </c>
    </row>
    <row r="448">
      <c r="A448" t="inlineStr">
        <is>
          <t>No</t>
        </is>
      </c>
      <c r="B448" t="inlineStr">
        <is>
          <t>PJ1559 .B72 1980</t>
        </is>
      </c>
      <c r="C448" t="inlineStr">
        <is>
          <t>0                      PJ 1559000B  72          1980</t>
        </is>
      </c>
      <c r="D448" t="inlineStr">
        <is>
          <t>The book of opening the mouth : the Egyptian texts with English translations / by E. A. Wallis Budge.</t>
        </is>
      </c>
      <c r="F448" t="inlineStr">
        <is>
          <t>No</t>
        </is>
      </c>
      <c r="G448" t="inlineStr">
        <is>
          <t>1</t>
        </is>
      </c>
      <c r="H448" t="inlineStr">
        <is>
          <t>No</t>
        </is>
      </c>
      <c r="I448" t="inlineStr">
        <is>
          <t>No</t>
        </is>
      </c>
      <c r="J448" t="inlineStr">
        <is>
          <t>0</t>
        </is>
      </c>
      <c r="K448" t="inlineStr">
        <is>
          <t>Book of opening the mouth.</t>
        </is>
      </c>
      <c r="L448" t="inlineStr">
        <is>
          <t>New York : Arno, 1980.</t>
        </is>
      </c>
      <c r="M448" t="inlineStr">
        <is>
          <t>1980</t>
        </is>
      </c>
      <c r="O448" t="inlineStr">
        <is>
          <t>eng</t>
        </is>
      </c>
      <c r="P448" t="inlineStr">
        <is>
          <t>nyu</t>
        </is>
      </c>
      <c r="R448" t="inlineStr">
        <is>
          <t xml:space="preserve">PJ </t>
        </is>
      </c>
      <c r="S448" t="n">
        <v>4</v>
      </c>
      <c r="T448" t="n">
        <v>4</v>
      </c>
      <c r="U448" t="inlineStr">
        <is>
          <t>1994-02-17</t>
        </is>
      </c>
      <c r="V448" t="inlineStr">
        <is>
          <t>1994-02-17</t>
        </is>
      </c>
      <c r="W448" t="inlineStr">
        <is>
          <t>1993-04-28</t>
        </is>
      </c>
      <c r="X448" t="inlineStr">
        <is>
          <t>1993-04-28</t>
        </is>
      </c>
      <c r="Y448" t="n">
        <v>46</v>
      </c>
      <c r="Z448" t="n">
        <v>41</v>
      </c>
      <c r="AA448" t="n">
        <v>173</v>
      </c>
      <c r="AB448" t="n">
        <v>1</v>
      </c>
      <c r="AC448" t="n">
        <v>1</v>
      </c>
      <c r="AD448" t="n">
        <v>2</v>
      </c>
      <c r="AE448" t="n">
        <v>4</v>
      </c>
      <c r="AF448" t="n">
        <v>1</v>
      </c>
      <c r="AG448" t="n">
        <v>2</v>
      </c>
      <c r="AH448" t="n">
        <v>1</v>
      </c>
      <c r="AI448" t="n">
        <v>1</v>
      </c>
      <c r="AJ448" t="n">
        <v>0</v>
      </c>
      <c r="AK448" t="n">
        <v>1</v>
      </c>
      <c r="AL448" t="n">
        <v>0</v>
      </c>
      <c r="AM448" t="n">
        <v>0</v>
      </c>
      <c r="AN448" t="n">
        <v>0</v>
      </c>
      <c r="AO448" t="n">
        <v>0</v>
      </c>
      <c r="AP448" t="inlineStr">
        <is>
          <t>No</t>
        </is>
      </c>
      <c r="AQ448" t="inlineStr">
        <is>
          <t>No</t>
        </is>
      </c>
      <c r="AS448">
        <f>HYPERLINK("https://creighton-primo.hosted.exlibrisgroup.com/primo-explore/search?tab=default_tab&amp;search_scope=EVERYTHING&amp;vid=01CRU&amp;lang=en_US&amp;offset=0&amp;query=any,contains,991004986359702656","Catalog Record")</f>
        <v/>
      </c>
      <c r="AT448">
        <f>HYPERLINK("http://www.worldcat.org/oclc/6454007","WorldCat Record")</f>
        <v/>
      </c>
      <c r="AU448" t="inlineStr">
        <is>
          <t>23575919:eng</t>
        </is>
      </c>
      <c r="AV448" t="inlineStr">
        <is>
          <t>6454007</t>
        </is>
      </c>
      <c r="AW448" t="inlineStr">
        <is>
          <t>991004986359702656</t>
        </is>
      </c>
      <c r="AX448" t="inlineStr">
        <is>
          <t>991004986359702656</t>
        </is>
      </c>
      <c r="AY448" t="inlineStr">
        <is>
          <t>2257737570002656</t>
        </is>
      </c>
      <c r="AZ448" t="inlineStr">
        <is>
          <t>BOOK</t>
        </is>
      </c>
      <c r="BB448" t="inlineStr">
        <is>
          <t>9780405083150</t>
        </is>
      </c>
      <c r="BC448" t="inlineStr">
        <is>
          <t>32285001670404</t>
        </is>
      </c>
      <c r="BD448" t="inlineStr">
        <is>
          <t>893694580</t>
        </is>
      </c>
    </row>
    <row r="449">
      <c r="A449" t="inlineStr">
        <is>
          <t>No</t>
        </is>
      </c>
      <c r="B449" t="inlineStr">
        <is>
          <t>PJ2181 .S63 1983</t>
        </is>
      </c>
      <c r="C449" t="inlineStr">
        <is>
          <t>0                      PJ 2181000S  63          1983</t>
        </is>
      </c>
      <c r="D449" t="inlineStr">
        <is>
          <t>A concise Coptic-English lexicon / compiled by Richard Smith.</t>
        </is>
      </c>
      <c r="F449" t="inlineStr">
        <is>
          <t>No</t>
        </is>
      </c>
      <c r="G449" t="inlineStr">
        <is>
          <t>1</t>
        </is>
      </c>
      <c r="H449" t="inlineStr">
        <is>
          <t>No</t>
        </is>
      </c>
      <c r="I449" t="inlineStr">
        <is>
          <t>No</t>
        </is>
      </c>
      <c r="J449" t="inlineStr">
        <is>
          <t>0</t>
        </is>
      </c>
      <c r="K449" t="inlineStr">
        <is>
          <t>Smith, Richard, 1943 September 28-</t>
        </is>
      </c>
      <c r="L449" t="inlineStr">
        <is>
          <t>Grand Rapids, Mich. : W.B. Eerdmans Pub. Co., 1982, c1983.</t>
        </is>
      </c>
      <c r="M449" t="inlineStr">
        <is>
          <t>1982</t>
        </is>
      </c>
      <c r="O449" t="inlineStr">
        <is>
          <t>eng</t>
        </is>
      </c>
      <c r="P449" t="inlineStr">
        <is>
          <t>miu</t>
        </is>
      </c>
      <c r="R449" t="inlineStr">
        <is>
          <t xml:space="preserve">PJ </t>
        </is>
      </c>
      <c r="S449" t="n">
        <v>5</v>
      </c>
      <c r="T449" t="n">
        <v>5</v>
      </c>
      <c r="U449" t="inlineStr">
        <is>
          <t>2006-09-08</t>
        </is>
      </c>
      <c r="V449" t="inlineStr">
        <is>
          <t>2006-09-08</t>
        </is>
      </c>
      <c r="W449" t="inlineStr">
        <is>
          <t>1993-04-28</t>
        </is>
      </c>
      <c r="X449" t="inlineStr">
        <is>
          <t>1993-04-28</t>
        </is>
      </c>
      <c r="Y449" t="n">
        <v>270</v>
      </c>
      <c r="Z449" t="n">
        <v>227</v>
      </c>
      <c r="AA449" t="n">
        <v>296</v>
      </c>
      <c r="AB449" t="n">
        <v>3</v>
      </c>
      <c r="AC449" t="n">
        <v>3</v>
      </c>
      <c r="AD449" t="n">
        <v>13</v>
      </c>
      <c r="AE449" t="n">
        <v>17</v>
      </c>
      <c r="AF449" t="n">
        <v>5</v>
      </c>
      <c r="AG449" t="n">
        <v>7</v>
      </c>
      <c r="AH449" t="n">
        <v>3</v>
      </c>
      <c r="AI449" t="n">
        <v>4</v>
      </c>
      <c r="AJ449" t="n">
        <v>6</v>
      </c>
      <c r="AK449" t="n">
        <v>7</v>
      </c>
      <c r="AL449" t="n">
        <v>2</v>
      </c>
      <c r="AM449" t="n">
        <v>2</v>
      </c>
      <c r="AN449" t="n">
        <v>0</v>
      </c>
      <c r="AO449" t="n">
        <v>0</v>
      </c>
      <c r="AP449" t="inlineStr">
        <is>
          <t>No</t>
        </is>
      </c>
      <c r="AQ449" t="inlineStr">
        <is>
          <t>Yes</t>
        </is>
      </c>
      <c r="AR449">
        <f>HYPERLINK("http://catalog.hathitrust.org/Record/000235291","HathiTrust Record")</f>
        <v/>
      </c>
      <c r="AS449">
        <f>HYPERLINK("https://creighton-primo.hosted.exlibrisgroup.com/primo-explore/search?tab=default_tab&amp;search_scope=EVERYTHING&amp;vid=01CRU&amp;lang=en_US&amp;offset=0&amp;query=any,contains,991000056469702656","Catalog Record")</f>
        <v/>
      </c>
      <c r="AT449">
        <f>HYPERLINK("http://www.worldcat.org/oclc/8709157","WorldCat Record")</f>
        <v/>
      </c>
      <c r="AU449" t="inlineStr">
        <is>
          <t>138439149:eng</t>
        </is>
      </c>
      <c r="AV449" t="inlineStr">
        <is>
          <t>8709157</t>
        </is>
      </c>
      <c r="AW449" t="inlineStr">
        <is>
          <t>991000056469702656</t>
        </is>
      </c>
      <c r="AX449" t="inlineStr">
        <is>
          <t>991000056469702656</t>
        </is>
      </c>
      <c r="AY449" t="inlineStr">
        <is>
          <t>2256620300002656</t>
        </is>
      </c>
      <c r="AZ449" t="inlineStr">
        <is>
          <t>BOOK</t>
        </is>
      </c>
      <c r="BB449" t="inlineStr">
        <is>
          <t>9780802835819</t>
        </is>
      </c>
      <c r="BC449" t="inlineStr">
        <is>
          <t>32285001670487</t>
        </is>
      </c>
      <c r="BD449" t="inlineStr">
        <is>
          <t>893595226</t>
        </is>
      </c>
    </row>
    <row r="450">
      <c r="A450" t="inlineStr">
        <is>
          <t>No</t>
        </is>
      </c>
      <c r="B450" t="inlineStr">
        <is>
          <t>PJ3019 .D7 1976</t>
        </is>
      </c>
      <c r="C450" t="inlineStr">
        <is>
          <t>0                      PJ 3019000D  7           1976</t>
        </is>
      </c>
      <c r="D450" t="inlineStr">
        <is>
          <t>Semitic writing from pictograph to alphabet / by G. R. Driver.</t>
        </is>
      </c>
      <c r="F450" t="inlineStr">
        <is>
          <t>No</t>
        </is>
      </c>
      <c r="G450" t="inlineStr">
        <is>
          <t>1</t>
        </is>
      </c>
      <c r="H450" t="inlineStr">
        <is>
          <t>No</t>
        </is>
      </c>
      <c r="I450" t="inlineStr">
        <is>
          <t>No</t>
        </is>
      </c>
      <c r="J450" t="inlineStr">
        <is>
          <t>0</t>
        </is>
      </c>
      <c r="K450" t="inlineStr">
        <is>
          <t>Driver, G. R. (Godfrey Rolles), 1892-1975.</t>
        </is>
      </c>
      <c r="L450" t="inlineStr">
        <is>
          <t>London ; New York : Published for the British Academy by Oxford University Press, 1976.</t>
        </is>
      </c>
      <c r="M450" t="inlineStr">
        <is>
          <t>1976</t>
        </is>
      </c>
      <c r="N450" t="inlineStr">
        <is>
          <t>Newly rev. ed. / edited by S. A. Hopkins.</t>
        </is>
      </c>
      <c r="O450" t="inlineStr">
        <is>
          <t>eng</t>
        </is>
      </c>
      <c r="P450" t="inlineStr">
        <is>
          <t>enk</t>
        </is>
      </c>
      <c r="Q450" t="inlineStr">
        <is>
          <t>The Schweich lectures of the British Academy ; 1944</t>
        </is>
      </c>
      <c r="R450" t="inlineStr">
        <is>
          <t xml:space="preserve">PJ </t>
        </is>
      </c>
      <c r="S450" t="n">
        <v>6</v>
      </c>
      <c r="T450" t="n">
        <v>6</v>
      </c>
      <c r="U450" t="inlineStr">
        <is>
          <t>2007-03-29</t>
        </is>
      </c>
      <c r="V450" t="inlineStr">
        <is>
          <t>2007-03-29</t>
        </is>
      </c>
      <c r="W450" t="inlineStr">
        <is>
          <t>1995-03-02</t>
        </is>
      </c>
      <c r="X450" t="inlineStr">
        <is>
          <t>1995-03-02</t>
        </is>
      </c>
      <c r="Y450" t="n">
        <v>398</v>
      </c>
      <c r="Z450" t="n">
        <v>266</v>
      </c>
      <c r="AA450" t="n">
        <v>423</v>
      </c>
      <c r="AB450" t="n">
        <v>2</v>
      </c>
      <c r="AC450" t="n">
        <v>3</v>
      </c>
      <c r="AD450" t="n">
        <v>9</v>
      </c>
      <c r="AE450" t="n">
        <v>18</v>
      </c>
      <c r="AF450" t="n">
        <v>3</v>
      </c>
      <c r="AG450" t="n">
        <v>6</v>
      </c>
      <c r="AH450" t="n">
        <v>2</v>
      </c>
      <c r="AI450" t="n">
        <v>4</v>
      </c>
      <c r="AJ450" t="n">
        <v>6</v>
      </c>
      <c r="AK450" t="n">
        <v>11</v>
      </c>
      <c r="AL450" t="n">
        <v>1</v>
      </c>
      <c r="AM450" t="n">
        <v>2</v>
      </c>
      <c r="AN450" t="n">
        <v>0</v>
      </c>
      <c r="AO450" t="n">
        <v>0</v>
      </c>
      <c r="AP450" t="inlineStr">
        <is>
          <t>No</t>
        </is>
      </c>
      <c r="AQ450" t="inlineStr">
        <is>
          <t>Yes</t>
        </is>
      </c>
      <c r="AR450">
        <f>HYPERLINK("http://catalog.hathitrust.org/Record/000171014","HathiTrust Record")</f>
        <v/>
      </c>
      <c r="AS450">
        <f>HYPERLINK("https://creighton-primo.hosted.exlibrisgroup.com/primo-explore/search?tab=default_tab&amp;search_scope=EVERYTHING&amp;vid=01CRU&amp;lang=en_US&amp;offset=0&amp;query=any,contains,991004217149702656","Catalog Record")</f>
        <v/>
      </c>
      <c r="AT450">
        <f>HYPERLINK("http://www.worldcat.org/oclc/2700725","WorldCat Record")</f>
        <v/>
      </c>
      <c r="AU450" t="inlineStr">
        <is>
          <t>2139742:eng</t>
        </is>
      </c>
      <c r="AV450" t="inlineStr">
        <is>
          <t>2700725</t>
        </is>
      </c>
      <c r="AW450" t="inlineStr">
        <is>
          <t>991004217149702656</t>
        </is>
      </c>
      <c r="AX450" t="inlineStr">
        <is>
          <t>991004217149702656</t>
        </is>
      </c>
      <c r="AY450" t="inlineStr">
        <is>
          <t>2257863570002656</t>
        </is>
      </c>
      <c r="AZ450" t="inlineStr">
        <is>
          <t>BOOK</t>
        </is>
      </c>
      <c r="BB450" t="inlineStr">
        <is>
          <t>9780197259177</t>
        </is>
      </c>
      <c r="BC450" t="inlineStr">
        <is>
          <t>32285002011053</t>
        </is>
      </c>
      <c r="BD450" t="inlineStr">
        <is>
          <t>893325080</t>
        </is>
      </c>
    </row>
    <row r="451">
      <c r="A451" t="inlineStr">
        <is>
          <t>No</t>
        </is>
      </c>
      <c r="B451" t="inlineStr">
        <is>
          <t>PJ3081 .G5</t>
        </is>
      </c>
      <c r="C451" t="inlineStr">
        <is>
          <t>0                      PJ 3081000G  5</t>
        </is>
      </c>
      <c r="D451" t="inlineStr">
        <is>
          <t>Textbook of Syrian Semitic inscriptions, by John C. L. Gibson.</t>
        </is>
      </c>
      <c r="F451" t="inlineStr">
        <is>
          <t>No</t>
        </is>
      </c>
      <c r="G451" t="inlineStr">
        <is>
          <t>1</t>
        </is>
      </c>
      <c r="H451" t="inlineStr">
        <is>
          <t>No</t>
        </is>
      </c>
      <c r="I451" t="inlineStr">
        <is>
          <t>No</t>
        </is>
      </c>
      <c r="J451" t="inlineStr">
        <is>
          <t>0</t>
        </is>
      </c>
      <c r="K451" t="inlineStr">
        <is>
          <t>Gibson, John C. L.</t>
        </is>
      </c>
      <c r="L451" t="inlineStr">
        <is>
          <t>Oxford, Clarendon Press, 1971-&lt;1982 &gt;</t>
        </is>
      </c>
      <c r="M451" t="inlineStr">
        <is>
          <t>1971</t>
        </is>
      </c>
      <c r="O451" t="inlineStr">
        <is>
          <t>eng</t>
        </is>
      </c>
      <c r="P451" t="inlineStr">
        <is>
          <t>enk</t>
        </is>
      </c>
      <c r="R451" t="inlineStr">
        <is>
          <t xml:space="preserve">PJ </t>
        </is>
      </c>
      <c r="S451" t="n">
        <v>4</v>
      </c>
      <c r="T451" t="n">
        <v>4</v>
      </c>
      <c r="U451" t="inlineStr">
        <is>
          <t>2004-09-10</t>
        </is>
      </c>
      <c r="V451" t="inlineStr">
        <is>
          <t>2004-09-10</t>
        </is>
      </c>
      <c r="W451" t="inlineStr">
        <is>
          <t>1997-11-05</t>
        </is>
      </c>
      <c r="X451" t="inlineStr">
        <is>
          <t>1997-11-05</t>
        </is>
      </c>
      <c r="Y451" t="n">
        <v>394</v>
      </c>
      <c r="Z451" t="n">
        <v>299</v>
      </c>
      <c r="AA451" t="n">
        <v>302</v>
      </c>
      <c r="AB451" t="n">
        <v>2</v>
      </c>
      <c r="AC451" t="n">
        <v>2</v>
      </c>
      <c r="AD451" t="n">
        <v>12</v>
      </c>
      <c r="AE451" t="n">
        <v>12</v>
      </c>
      <c r="AF451" t="n">
        <v>3</v>
      </c>
      <c r="AG451" t="n">
        <v>3</v>
      </c>
      <c r="AH451" t="n">
        <v>5</v>
      </c>
      <c r="AI451" t="n">
        <v>5</v>
      </c>
      <c r="AJ451" t="n">
        <v>6</v>
      </c>
      <c r="AK451" t="n">
        <v>6</v>
      </c>
      <c r="AL451" t="n">
        <v>1</v>
      </c>
      <c r="AM451" t="n">
        <v>1</v>
      </c>
      <c r="AN451" t="n">
        <v>0</v>
      </c>
      <c r="AO451" t="n">
        <v>0</v>
      </c>
      <c r="AP451" t="inlineStr">
        <is>
          <t>No</t>
        </is>
      </c>
      <c r="AQ451" t="inlineStr">
        <is>
          <t>Yes</t>
        </is>
      </c>
      <c r="AR451">
        <f>HYPERLINK("http://catalog.hathitrust.org/Record/000760481","HathiTrust Record")</f>
        <v/>
      </c>
      <c r="AS451">
        <f>HYPERLINK("https://creighton-primo.hosted.exlibrisgroup.com/primo-explore/search?tab=default_tab&amp;search_scope=EVERYTHING&amp;vid=01CRU&amp;lang=en_US&amp;offset=0&amp;query=any,contains,991000799809702656","Catalog Record")</f>
        <v/>
      </c>
      <c r="AT451">
        <f>HYPERLINK("http://www.worldcat.org/oclc/138512","WorldCat Record")</f>
        <v/>
      </c>
      <c r="AU451" t="inlineStr">
        <is>
          <t>4440893636:eng</t>
        </is>
      </c>
      <c r="AV451" t="inlineStr">
        <is>
          <t>138512</t>
        </is>
      </c>
      <c r="AW451" t="inlineStr">
        <is>
          <t>991000799809702656</t>
        </is>
      </c>
      <c r="AX451" t="inlineStr">
        <is>
          <t>991000799809702656</t>
        </is>
      </c>
      <c r="AY451" t="inlineStr">
        <is>
          <t>2258343030002656</t>
        </is>
      </c>
      <c r="AZ451" t="inlineStr">
        <is>
          <t>BOOK</t>
        </is>
      </c>
      <c r="BB451" t="inlineStr">
        <is>
          <t>9780198131595</t>
        </is>
      </c>
      <c r="BC451" t="inlineStr">
        <is>
          <t>32285003276432</t>
        </is>
      </c>
      <c r="BD451" t="inlineStr">
        <is>
          <t>893884768</t>
        </is>
      </c>
    </row>
    <row r="452">
      <c r="A452" t="inlineStr">
        <is>
          <t>No</t>
        </is>
      </c>
      <c r="B452" t="inlineStr">
        <is>
          <t>PJ3085 .C76 2003</t>
        </is>
      </c>
      <c r="C452" t="inlineStr">
        <is>
          <t>0                      PJ 3085000C  76          2003</t>
        </is>
      </c>
      <c r="D452" t="inlineStr">
        <is>
          <t>Leaves from an epigrapher's notebook : collected papers in Hebrew and West Semitic palaeography and epigraphy / by Frank Moore Cross.</t>
        </is>
      </c>
      <c r="F452" t="inlineStr">
        <is>
          <t>No</t>
        </is>
      </c>
      <c r="G452" t="inlineStr">
        <is>
          <t>1</t>
        </is>
      </c>
      <c r="H452" t="inlineStr">
        <is>
          <t>No</t>
        </is>
      </c>
      <c r="I452" t="inlineStr">
        <is>
          <t>No</t>
        </is>
      </c>
      <c r="J452" t="inlineStr">
        <is>
          <t>0</t>
        </is>
      </c>
      <c r="K452" t="inlineStr">
        <is>
          <t>Cross, Frank Moore.</t>
        </is>
      </c>
      <c r="L452" t="inlineStr">
        <is>
          <t>Winona Lake, IN : Eisenbrauns, 2003.</t>
        </is>
      </c>
      <c r="M452" t="inlineStr">
        <is>
          <t>2003</t>
        </is>
      </c>
      <c r="O452" t="inlineStr">
        <is>
          <t>eng</t>
        </is>
      </c>
      <c r="P452" t="inlineStr">
        <is>
          <t>inu</t>
        </is>
      </c>
      <c r="Q452" t="inlineStr">
        <is>
          <t>Harvard Semitic studies ; no. 51</t>
        </is>
      </c>
      <c r="R452" t="inlineStr">
        <is>
          <t xml:space="preserve">PJ </t>
        </is>
      </c>
      <c r="S452" t="n">
        <v>1</v>
      </c>
      <c r="T452" t="n">
        <v>1</v>
      </c>
      <c r="U452" t="inlineStr">
        <is>
          <t>2005-02-28</t>
        </is>
      </c>
      <c r="V452" t="inlineStr">
        <is>
          <t>2005-02-28</t>
        </is>
      </c>
      <c r="W452" t="inlineStr">
        <is>
          <t>2005-02-28</t>
        </is>
      </c>
      <c r="X452" t="inlineStr">
        <is>
          <t>2005-02-28</t>
        </is>
      </c>
      <c r="Y452" t="n">
        <v>184</v>
      </c>
      <c r="Z452" t="n">
        <v>135</v>
      </c>
      <c r="AA452" t="n">
        <v>149</v>
      </c>
      <c r="AB452" t="n">
        <v>2</v>
      </c>
      <c r="AC452" t="n">
        <v>2</v>
      </c>
      <c r="AD452" t="n">
        <v>8</v>
      </c>
      <c r="AE452" t="n">
        <v>8</v>
      </c>
      <c r="AF452" t="n">
        <v>3</v>
      </c>
      <c r="AG452" t="n">
        <v>3</v>
      </c>
      <c r="AH452" t="n">
        <v>1</v>
      </c>
      <c r="AI452" t="n">
        <v>1</v>
      </c>
      <c r="AJ452" t="n">
        <v>4</v>
      </c>
      <c r="AK452" t="n">
        <v>4</v>
      </c>
      <c r="AL452" t="n">
        <v>1</v>
      </c>
      <c r="AM452" t="n">
        <v>1</v>
      </c>
      <c r="AN452" t="n">
        <v>0</v>
      </c>
      <c r="AO452" t="n">
        <v>0</v>
      </c>
      <c r="AP452" t="inlineStr">
        <is>
          <t>No</t>
        </is>
      </c>
      <c r="AQ452" t="inlineStr">
        <is>
          <t>Yes</t>
        </is>
      </c>
      <c r="AR452">
        <f>HYPERLINK("http://catalog.hathitrust.org/Record/004312972","HathiTrust Record")</f>
        <v/>
      </c>
      <c r="AS452">
        <f>HYPERLINK("https://creighton-primo.hosted.exlibrisgroup.com/primo-explore/search?tab=default_tab&amp;search_scope=EVERYTHING&amp;vid=01CRU&amp;lang=en_US&amp;offset=0&amp;query=any,contains,991004435009702656","Catalog Record")</f>
        <v/>
      </c>
      <c r="AT452">
        <f>HYPERLINK("http://www.worldcat.org/oclc/50476904","WorldCat Record")</f>
        <v/>
      </c>
      <c r="AU452" t="inlineStr">
        <is>
          <t>943231:eng</t>
        </is>
      </c>
      <c r="AV452" t="inlineStr">
        <is>
          <t>50476904</t>
        </is>
      </c>
      <c r="AW452" t="inlineStr">
        <is>
          <t>991004435009702656</t>
        </is>
      </c>
      <c r="AX452" t="inlineStr">
        <is>
          <t>991004435009702656</t>
        </is>
      </c>
      <c r="AY452" t="inlineStr">
        <is>
          <t>2255550270002656</t>
        </is>
      </c>
      <c r="AZ452" t="inlineStr">
        <is>
          <t>BOOK</t>
        </is>
      </c>
      <c r="BB452" t="inlineStr">
        <is>
          <t>9781575069111</t>
        </is>
      </c>
      <c r="BC452" t="inlineStr">
        <is>
          <t>32285005028260</t>
        </is>
      </c>
      <c r="BD452" t="inlineStr">
        <is>
          <t>893888693</t>
        </is>
      </c>
    </row>
    <row r="453">
      <c r="A453" t="inlineStr">
        <is>
          <t>No</t>
        </is>
      </c>
      <c r="B453" t="inlineStr">
        <is>
          <t>PJ309 .C6 1958</t>
        </is>
      </c>
      <c r="C453" t="inlineStr">
        <is>
          <t>0                      PJ 0309000C  6           1958</t>
        </is>
      </c>
      <c r="D453" t="inlineStr">
        <is>
          <t>Approaches to the Oriental classics; Asian literature and thought in general education. Edited by Wm. Theodore De Bary.</t>
        </is>
      </c>
      <c r="F453" t="inlineStr">
        <is>
          <t>No</t>
        </is>
      </c>
      <c r="G453" t="inlineStr">
        <is>
          <t>1</t>
        </is>
      </c>
      <c r="H453" t="inlineStr">
        <is>
          <t>No</t>
        </is>
      </c>
      <c r="I453" t="inlineStr">
        <is>
          <t>No</t>
        </is>
      </c>
      <c r="J453" t="inlineStr">
        <is>
          <t>0</t>
        </is>
      </c>
      <c r="K453" t="inlineStr">
        <is>
          <t>Conference on Oriental Classics in General Education (1958 : Columbia University)</t>
        </is>
      </c>
      <c r="L453" t="inlineStr">
        <is>
          <t>New York, Columbia University Press, 1959.</t>
        </is>
      </c>
      <c r="M453" t="inlineStr">
        <is>
          <t>1959</t>
        </is>
      </c>
      <c r="O453" t="inlineStr">
        <is>
          <t>eng</t>
        </is>
      </c>
      <c r="P453" t="inlineStr">
        <is>
          <t>nyu</t>
        </is>
      </c>
      <c r="R453" t="inlineStr">
        <is>
          <t xml:space="preserve">PJ </t>
        </is>
      </c>
      <c r="S453" t="n">
        <v>3</v>
      </c>
      <c r="T453" t="n">
        <v>3</v>
      </c>
      <c r="U453" t="inlineStr">
        <is>
          <t>1998-06-10</t>
        </is>
      </c>
      <c r="V453" t="inlineStr">
        <is>
          <t>1998-06-10</t>
        </is>
      </c>
      <c r="W453" t="inlineStr">
        <is>
          <t>1997-09-11</t>
        </is>
      </c>
      <c r="X453" t="inlineStr">
        <is>
          <t>1997-09-11</t>
        </is>
      </c>
      <c r="Y453" t="n">
        <v>677</v>
      </c>
      <c r="Z453" t="n">
        <v>628</v>
      </c>
      <c r="AA453" t="n">
        <v>683</v>
      </c>
      <c r="AB453" t="n">
        <v>6</v>
      </c>
      <c r="AC453" t="n">
        <v>6</v>
      </c>
      <c r="AD453" t="n">
        <v>29</v>
      </c>
      <c r="AE453" t="n">
        <v>31</v>
      </c>
      <c r="AF453" t="n">
        <v>7</v>
      </c>
      <c r="AG453" t="n">
        <v>8</v>
      </c>
      <c r="AH453" t="n">
        <v>4</v>
      </c>
      <c r="AI453" t="n">
        <v>4</v>
      </c>
      <c r="AJ453" t="n">
        <v>17</v>
      </c>
      <c r="AK453" t="n">
        <v>19</v>
      </c>
      <c r="AL453" t="n">
        <v>5</v>
      </c>
      <c r="AM453" t="n">
        <v>5</v>
      </c>
      <c r="AN453" t="n">
        <v>0</v>
      </c>
      <c r="AO453" t="n">
        <v>0</v>
      </c>
      <c r="AP453" t="inlineStr">
        <is>
          <t>No</t>
        </is>
      </c>
      <c r="AQ453" t="inlineStr">
        <is>
          <t>No</t>
        </is>
      </c>
      <c r="AR453">
        <f>HYPERLINK("http://catalog.hathitrust.org/Record/000981704","HathiTrust Record")</f>
        <v/>
      </c>
      <c r="AS453">
        <f>HYPERLINK("https://creighton-primo.hosted.exlibrisgroup.com/primo-explore/search?tab=default_tab&amp;search_scope=EVERYTHING&amp;vid=01CRU&amp;lang=en_US&amp;offset=0&amp;query=any,contains,991001210959702656","Catalog Record")</f>
        <v/>
      </c>
      <c r="AT453">
        <f>HYPERLINK("http://www.worldcat.org/oclc/193295","WorldCat Record")</f>
        <v/>
      </c>
      <c r="AU453" t="inlineStr">
        <is>
          <t>1356459:eng</t>
        </is>
      </c>
      <c r="AV453" t="inlineStr">
        <is>
          <t>193295</t>
        </is>
      </c>
      <c r="AW453" t="inlineStr">
        <is>
          <t>991001210959702656</t>
        </is>
      </c>
      <c r="AX453" t="inlineStr">
        <is>
          <t>991001210959702656</t>
        </is>
      </c>
      <c r="AY453" t="inlineStr">
        <is>
          <t>2270899750002656</t>
        </is>
      </c>
      <c r="AZ453" t="inlineStr">
        <is>
          <t>BOOK</t>
        </is>
      </c>
      <c r="BC453" t="inlineStr">
        <is>
          <t>32285003222378</t>
        </is>
      </c>
      <c r="BD453" t="inlineStr">
        <is>
          <t>893684155</t>
        </is>
      </c>
    </row>
    <row r="454">
      <c r="A454" t="inlineStr">
        <is>
          <t>No</t>
        </is>
      </c>
      <c r="B454" t="inlineStr">
        <is>
          <t>PJ3091 .S613 1991</t>
        </is>
      </c>
      <c r="C454" t="inlineStr">
        <is>
          <t>0                      PJ 3091000S  613         1991</t>
        </is>
      </c>
      <c r="D454" t="inlineStr">
        <is>
          <t>Writings from ancient Israel : a handbook of historical and religious documents / Klaas A.D. Smelik ; translated by G.I. Davies.</t>
        </is>
      </c>
      <c r="F454" t="inlineStr">
        <is>
          <t>No</t>
        </is>
      </c>
      <c r="G454" t="inlineStr">
        <is>
          <t>1</t>
        </is>
      </c>
      <c r="H454" t="inlineStr">
        <is>
          <t>No</t>
        </is>
      </c>
      <c r="I454" t="inlineStr">
        <is>
          <t>No</t>
        </is>
      </c>
      <c r="J454" t="inlineStr">
        <is>
          <t>0</t>
        </is>
      </c>
      <c r="K454" t="inlineStr">
        <is>
          <t>Smelik, K. A. D., 1950-</t>
        </is>
      </c>
      <c r="L454" t="inlineStr">
        <is>
          <t>Louisville, Ky. : Westminster/John Knox Press, 1991.</t>
        </is>
      </c>
      <c r="M454" t="inlineStr">
        <is>
          <t>1991</t>
        </is>
      </c>
      <c r="N454" t="inlineStr">
        <is>
          <t>1st American ed.</t>
        </is>
      </c>
      <c r="O454" t="inlineStr">
        <is>
          <t>eng</t>
        </is>
      </c>
      <c r="P454" t="inlineStr">
        <is>
          <t>kyu</t>
        </is>
      </c>
      <c r="R454" t="inlineStr">
        <is>
          <t xml:space="preserve">PJ </t>
        </is>
      </c>
      <c r="S454" t="n">
        <v>14</v>
      </c>
      <c r="T454" t="n">
        <v>14</v>
      </c>
      <c r="U454" t="inlineStr">
        <is>
          <t>2001-04-01</t>
        </is>
      </c>
      <c r="V454" t="inlineStr">
        <is>
          <t>2001-04-01</t>
        </is>
      </c>
      <c r="W454" t="inlineStr">
        <is>
          <t>1993-08-12</t>
        </is>
      </c>
      <c r="X454" t="inlineStr">
        <is>
          <t>1993-08-12</t>
        </is>
      </c>
      <c r="Y454" t="n">
        <v>285</v>
      </c>
      <c r="Z454" t="n">
        <v>249</v>
      </c>
      <c r="AA454" t="n">
        <v>300</v>
      </c>
      <c r="AB454" t="n">
        <v>2</v>
      </c>
      <c r="AC454" t="n">
        <v>3</v>
      </c>
      <c r="AD454" t="n">
        <v>16</v>
      </c>
      <c r="AE454" t="n">
        <v>21</v>
      </c>
      <c r="AF454" t="n">
        <v>8</v>
      </c>
      <c r="AG454" t="n">
        <v>8</v>
      </c>
      <c r="AH454" t="n">
        <v>2</v>
      </c>
      <c r="AI454" t="n">
        <v>4</v>
      </c>
      <c r="AJ454" t="n">
        <v>8</v>
      </c>
      <c r="AK454" t="n">
        <v>11</v>
      </c>
      <c r="AL454" t="n">
        <v>1</v>
      </c>
      <c r="AM454" t="n">
        <v>2</v>
      </c>
      <c r="AN454" t="n">
        <v>0</v>
      </c>
      <c r="AO454" t="n">
        <v>0</v>
      </c>
      <c r="AP454" t="inlineStr">
        <is>
          <t>No</t>
        </is>
      </c>
      <c r="AQ454" t="inlineStr">
        <is>
          <t>Yes</t>
        </is>
      </c>
      <c r="AR454">
        <f>HYPERLINK("http://catalog.hathitrust.org/Record/002721807","HathiTrust Record")</f>
        <v/>
      </c>
      <c r="AS454">
        <f>HYPERLINK("https://creighton-primo.hosted.exlibrisgroup.com/primo-explore/search?tab=default_tab&amp;search_scope=EVERYTHING&amp;vid=01CRU&amp;lang=en_US&amp;offset=0&amp;query=any,contains,991001994289702656","Catalog Record")</f>
        <v/>
      </c>
      <c r="AT454">
        <f>HYPERLINK("http://www.worldcat.org/oclc/25321041","WorldCat Record")</f>
        <v/>
      </c>
      <c r="AU454" t="inlineStr">
        <is>
          <t>2673488:eng</t>
        </is>
      </c>
      <c r="AV454" t="inlineStr">
        <is>
          <t>25321041</t>
        </is>
      </c>
      <c r="AW454" t="inlineStr">
        <is>
          <t>991001994289702656</t>
        </is>
      </c>
      <c r="AX454" t="inlineStr">
        <is>
          <t>991001994289702656</t>
        </is>
      </c>
      <c r="AY454" t="inlineStr">
        <is>
          <t>2255856010002656</t>
        </is>
      </c>
      <c r="AZ454" t="inlineStr">
        <is>
          <t>BOOK</t>
        </is>
      </c>
      <c r="BB454" t="inlineStr">
        <is>
          <t>9780664253080</t>
        </is>
      </c>
      <c r="BC454" t="inlineStr">
        <is>
          <t>32285001725992</t>
        </is>
      </c>
      <c r="BD454" t="inlineStr">
        <is>
          <t>893523065</t>
        </is>
      </c>
    </row>
    <row r="455">
      <c r="A455" t="inlineStr">
        <is>
          <t>No</t>
        </is>
      </c>
      <c r="B455" t="inlineStr">
        <is>
          <t>PJ310 .A78 2000</t>
        </is>
      </c>
      <c r="C455" t="inlineStr">
        <is>
          <t>0                      PJ 0310000A  78          2000</t>
        </is>
      </c>
      <c r="D455" t="inlineStr">
        <is>
          <t>The art of love lyrics : in memory of Bernard Couroyer, OP and Hans Jacob Polotsky, first Egyptologists in Jerusalem / under the direction of Sara I. Groll, Shalom Paul, Marcel Sigrist ; ed. by Krsysztof Modras.</t>
        </is>
      </c>
      <c r="F455" t="inlineStr">
        <is>
          <t>No</t>
        </is>
      </c>
      <c r="G455" t="inlineStr">
        <is>
          <t>1</t>
        </is>
      </c>
      <c r="H455" t="inlineStr">
        <is>
          <t>No</t>
        </is>
      </c>
      <c r="I455" t="inlineStr">
        <is>
          <t>No</t>
        </is>
      </c>
      <c r="J455" t="inlineStr">
        <is>
          <t>0</t>
        </is>
      </c>
      <c r="L455" t="inlineStr">
        <is>
          <t>Paris : Gabalda, c2000.</t>
        </is>
      </c>
      <c r="M455" t="inlineStr">
        <is>
          <t>2000</t>
        </is>
      </c>
      <c r="O455" t="inlineStr">
        <is>
          <t>eng</t>
        </is>
      </c>
      <c r="P455" t="inlineStr">
        <is>
          <t xml:space="preserve">fr </t>
        </is>
      </c>
      <c r="Q455" t="inlineStr">
        <is>
          <t>Cahiers de la Revue biblique, 0575-0741 ; 49</t>
        </is>
      </c>
      <c r="R455" t="inlineStr">
        <is>
          <t xml:space="preserve">PJ </t>
        </is>
      </c>
      <c r="S455" t="n">
        <v>1</v>
      </c>
      <c r="T455" t="n">
        <v>1</v>
      </c>
      <c r="U455" t="inlineStr">
        <is>
          <t>2001-08-30</t>
        </is>
      </c>
      <c r="V455" t="inlineStr">
        <is>
          <t>2001-08-30</t>
        </is>
      </c>
      <c r="W455" t="inlineStr">
        <is>
          <t>2001-08-30</t>
        </is>
      </c>
      <c r="X455" t="inlineStr">
        <is>
          <t>2001-08-30</t>
        </is>
      </c>
      <c r="Y455" t="n">
        <v>75</v>
      </c>
      <c r="Z455" t="n">
        <v>49</v>
      </c>
      <c r="AA455" t="n">
        <v>52</v>
      </c>
      <c r="AB455" t="n">
        <v>1</v>
      </c>
      <c r="AC455" t="n">
        <v>1</v>
      </c>
      <c r="AD455" t="n">
        <v>2</v>
      </c>
      <c r="AE455" t="n">
        <v>2</v>
      </c>
      <c r="AF455" t="n">
        <v>0</v>
      </c>
      <c r="AG455" t="n">
        <v>0</v>
      </c>
      <c r="AH455" t="n">
        <v>1</v>
      </c>
      <c r="AI455" t="n">
        <v>1</v>
      </c>
      <c r="AJ455" t="n">
        <v>1</v>
      </c>
      <c r="AK455" t="n">
        <v>1</v>
      </c>
      <c r="AL455" t="n">
        <v>0</v>
      </c>
      <c r="AM455" t="n">
        <v>0</v>
      </c>
      <c r="AN455" t="n">
        <v>0</v>
      </c>
      <c r="AO455" t="n">
        <v>0</v>
      </c>
      <c r="AP455" t="inlineStr">
        <is>
          <t>No</t>
        </is>
      </c>
      <c r="AQ455" t="inlineStr">
        <is>
          <t>Yes</t>
        </is>
      </c>
      <c r="AR455">
        <f>HYPERLINK("http://catalog.hathitrust.org/Record/003530230","HathiTrust Record")</f>
        <v/>
      </c>
      <c r="AS455">
        <f>HYPERLINK("https://creighton-primo.hosted.exlibrisgroup.com/primo-explore/search?tab=default_tab&amp;search_scope=EVERYTHING&amp;vid=01CRU&amp;lang=en_US&amp;offset=0&amp;query=any,contains,991003608399702656","Catalog Record")</f>
        <v/>
      </c>
      <c r="AT455">
        <f>HYPERLINK("http://www.worldcat.org/oclc/45719587","WorldCat Record")</f>
        <v/>
      </c>
      <c r="AU455" t="inlineStr">
        <is>
          <t>837040144:eng</t>
        </is>
      </c>
      <c r="AV455" t="inlineStr">
        <is>
          <t>45719587</t>
        </is>
      </c>
      <c r="AW455" t="inlineStr">
        <is>
          <t>991003608399702656</t>
        </is>
      </c>
      <c r="AX455" t="inlineStr">
        <is>
          <t>991003608399702656</t>
        </is>
      </c>
      <c r="AY455" t="inlineStr">
        <is>
          <t>2261125290002656</t>
        </is>
      </c>
      <c r="AZ455" t="inlineStr">
        <is>
          <t>BOOK</t>
        </is>
      </c>
      <c r="BB455" t="inlineStr">
        <is>
          <t>9782850211270</t>
        </is>
      </c>
      <c r="BC455" t="inlineStr">
        <is>
          <t>32285004383203</t>
        </is>
      </c>
      <c r="BD455" t="inlineStr">
        <is>
          <t>893705423</t>
        </is>
      </c>
    </row>
    <row r="456">
      <c r="A456" t="inlineStr">
        <is>
          <t>No</t>
        </is>
      </c>
      <c r="B456" t="inlineStr">
        <is>
          <t>PJ3127 .B6</t>
        </is>
      </c>
      <c r="C456" t="inlineStr">
        <is>
          <t>0                      PJ 3127000B  6</t>
        </is>
      </c>
      <c r="D456" t="inlineStr">
        <is>
          <t>Opera minora; studies en bijdragen op Assyriologisch en Oudtestamentisch terrein.</t>
        </is>
      </c>
      <c r="F456" t="inlineStr">
        <is>
          <t>No</t>
        </is>
      </c>
      <c r="G456" t="inlineStr">
        <is>
          <t>1</t>
        </is>
      </c>
      <c r="H456" t="inlineStr">
        <is>
          <t>No</t>
        </is>
      </c>
      <c r="I456" t="inlineStr">
        <is>
          <t>No</t>
        </is>
      </c>
      <c r="J456" t="inlineStr">
        <is>
          <t>0</t>
        </is>
      </c>
      <c r="K456" t="inlineStr">
        <is>
          <t>Böhl, Franz Marius Theodor, 1882-1976.</t>
        </is>
      </c>
      <c r="L456" t="inlineStr">
        <is>
          <t>Groningen, J. B. Wolters, 1953.</t>
        </is>
      </c>
      <c r="M456" t="inlineStr">
        <is>
          <t>1953</t>
        </is>
      </c>
      <c r="O456" t="inlineStr">
        <is>
          <t>ger</t>
        </is>
      </c>
      <c r="P456" t="inlineStr">
        <is>
          <t>___</t>
        </is>
      </c>
      <c r="R456" t="inlineStr">
        <is>
          <t xml:space="preserve">PJ </t>
        </is>
      </c>
      <c r="S456" t="n">
        <v>1</v>
      </c>
      <c r="T456" t="n">
        <v>1</v>
      </c>
      <c r="U456" t="inlineStr">
        <is>
          <t>2004-09-10</t>
        </is>
      </c>
      <c r="V456" t="inlineStr">
        <is>
          <t>2004-09-10</t>
        </is>
      </c>
      <c r="W456" t="inlineStr">
        <is>
          <t>1993-04-28</t>
        </is>
      </c>
      <c r="X456" t="inlineStr">
        <is>
          <t>1993-04-28</t>
        </is>
      </c>
      <c r="Y456" t="n">
        <v>87</v>
      </c>
      <c r="Z456" t="n">
        <v>43</v>
      </c>
      <c r="AA456" t="n">
        <v>44</v>
      </c>
      <c r="AB456" t="n">
        <v>1</v>
      </c>
      <c r="AC456" t="n">
        <v>1</v>
      </c>
      <c r="AD456" t="n">
        <v>0</v>
      </c>
      <c r="AE456" t="n">
        <v>0</v>
      </c>
      <c r="AF456" t="n">
        <v>0</v>
      </c>
      <c r="AG456" t="n">
        <v>0</v>
      </c>
      <c r="AH456" t="n">
        <v>0</v>
      </c>
      <c r="AI456" t="n">
        <v>0</v>
      </c>
      <c r="AJ456" t="n">
        <v>0</v>
      </c>
      <c r="AK456" t="n">
        <v>0</v>
      </c>
      <c r="AL456" t="n">
        <v>0</v>
      </c>
      <c r="AM456" t="n">
        <v>0</v>
      </c>
      <c r="AN456" t="n">
        <v>0</v>
      </c>
      <c r="AO456" t="n">
        <v>0</v>
      </c>
      <c r="AP456" t="inlineStr">
        <is>
          <t>No</t>
        </is>
      </c>
      <c r="AQ456" t="inlineStr">
        <is>
          <t>Yes</t>
        </is>
      </c>
      <c r="AR456">
        <f>HYPERLINK("http://catalog.hathitrust.org/Record/001241430","HathiTrust Record")</f>
        <v/>
      </c>
      <c r="AS456">
        <f>HYPERLINK("https://creighton-primo.hosted.exlibrisgroup.com/primo-explore/search?tab=default_tab&amp;search_scope=EVERYTHING&amp;vid=01CRU&amp;lang=en_US&amp;offset=0&amp;query=any,contains,991003369539702656","Catalog Record")</f>
        <v/>
      </c>
      <c r="AT456">
        <f>HYPERLINK("http://www.worldcat.org/oclc/905180","WorldCat Record")</f>
        <v/>
      </c>
      <c r="AU456" t="inlineStr">
        <is>
          <t>222237167:ger</t>
        </is>
      </c>
      <c r="AV456" t="inlineStr">
        <is>
          <t>905180</t>
        </is>
      </c>
      <c r="AW456" t="inlineStr">
        <is>
          <t>991003369539702656</t>
        </is>
      </c>
      <c r="AX456" t="inlineStr">
        <is>
          <t>991003369539702656</t>
        </is>
      </c>
      <c r="AY456" t="inlineStr">
        <is>
          <t>2264059530002656</t>
        </is>
      </c>
      <c r="AZ456" t="inlineStr">
        <is>
          <t>BOOK</t>
        </is>
      </c>
      <c r="BC456" t="inlineStr">
        <is>
          <t>32285001670560</t>
        </is>
      </c>
      <c r="BD456" t="inlineStr">
        <is>
          <t>893868363</t>
        </is>
      </c>
    </row>
    <row r="457">
      <c r="A457" t="inlineStr">
        <is>
          <t>No</t>
        </is>
      </c>
      <c r="B457" t="inlineStr">
        <is>
          <t>PJ3601.D5 E5 1963</t>
        </is>
      </c>
      <c r="C457" t="inlineStr">
        <is>
          <t>0                      PJ 3601000D  5                  E  5           1963</t>
        </is>
      </c>
      <c r="D457" t="inlineStr">
        <is>
          <t>L'emploi métaphorique des noms de parties du corps en hébreu et en akkadien [par] Édouard Dhorme. Éd. anastatique d'un ouvrage publié en 1923.</t>
        </is>
      </c>
      <c r="F457" t="inlineStr">
        <is>
          <t>No</t>
        </is>
      </c>
      <c r="G457" t="inlineStr">
        <is>
          <t>1</t>
        </is>
      </c>
      <c r="H457" t="inlineStr">
        <is>
          <t>No</t>
        </is>
      </c>
      <c r="I457" t="inlineStr">
        <is>
          <t>No</t>
        </is>
      </c>
      <c r="J457" t="inlineStr">
        <is>
          <t>0</t>
        </is>
      </c>
      <c r="K457" t="inlineStr">
        <is>
          <t>Dhorme, E. (Edouard), 1881-</t>
        </is>
      </c>
      <c r="L457" t="inlineStr">
        <is>
          <t>Paris, Librairie orientaliste P.Geuthner, 1963.</t>
        </is>
      </c>
      <c r="M457" t="inlineStr">
        <is>
          <t>1963</t>
        </is>
      </c>
      <c r="O457" t="inlineStr">
        <is>
          <t>fre</t>
        </is>
      </c>
      <c r="P457" t="inlineStr">
        <is>
          <t xml:space="preserve">xx </t>
        </is>
      </c>
      <c r="R457" t="inlineStr">
        <is>
          <t xml:space="preserve">PJ </t>
        </is>
      </c>
      <c r="S457" t="n">
        <v>0</v>
      </c>
      <c r="T457" t="n">
        <v>0</v>
      </c>
      <c r="U457" t="inlineStr">
        <is>
          <t>2003-08-26</t>
        </is>
      </c>
      <c r="V457" t="inlineStr">
        <is>
          <t>2003-08-26</t>
        </is>
      </c>
      <c r="W457" t="inlineStr">
        <is>
          <t>1997-09-11</t>
        </is>
      </c>
      <c r="X457" t="inlineStr">
        <is>
          <t>1997-09-11</t>
        </is>
      </c>
      <c r="Y457" t="n">
        <v>76</v>
      </c>
      <c r="Z457" t="n">
        <v>47</v>
      </c>
      <c r="AA457" t="n">
        <v>59</v>
      </c>
      <c r="AB457" t="n">
        <v>1</v>
      </c>
      <c r="AC457" t="n">
        <v>1</v>
      </c>
      <c r="AD457" t="n">
        <v>1</v>
      </c>
      <c r="AE457" t="n">
        <v>2</v>
      </c>
      <c r="AF457" t="n">
        <v>0</v>
      </c>
      <c r="AG457" t="n">
        <v>0</v>
      </c>
      <c r="AH457" t="n">
        <v>0</v>
      </c>
      <c r="AI457" t="n">
        <v>0</v>
      </c>
      <c r="AJ457" t="n">
        <v>1</v>
      </c>
      <c r="AK457" t="n">
        <v>2</v>
      </c>
      <c r="AL457" t="n">
        <v>0</v>
      </c>
      <c r="AM457" t="n">
        <v>0</v>
      </c>
      <c r="AN457" t="n">
        <v>0</v>
      </c>
      <c r="AO457" t="n">
        <v>0</v>
      </c>
      <c r="AP457" t="inlineStr">
        <is>
          <t>No</t>
        </is>
      </c>
      <c r="AQ457" t="inlineStr">
        <is>
          <t>Yes</t>
        </is>
      </c>
      <c r="AR457">
        <f>HYPERLINK("http://catalog.hathitrust.org/Record/000982151","HathiTrust Record")</f>
        <v/>
      </c>
      <c r="AS457">
        <f>HYPERLINK("https://creighton-primo.hosted.exlibrisgroup.com/primo-explore/search?tab=default_tab&amp;search_scope=EVERYTHING&amp;vid=01CRU&amp;lang=en_US&amp;offset=0&amp;query=any,contains,991003446209702656","Catalog Record")</f>
        <v/>
      </c>
      <c r="AT457">
        <f>HYPERLINK("http://www.worldcat.org/oclc/981752","WorldCat Record")</f>
        <v/>
      </c>
      <c r="AU457" t="inlineStr">
        <is>
          <t>351103505:fre</t>
        </is>
      </c>
      <c r="AV457" t="inlineStr">
        <is>
          <t>981752</t>
        </is>
      </c>
      <c r="AW457" t="inlineStr">
        <is>
          <t>991003446209702656</t>
        </is>
      </c>
      <c r="AX457" t="inlineStr">
        <is>
          <t>991003446209702656</t>
        </is>
      </c>
      <c r="AY457" t="inlineStr">
        <is>
          <t>2269578850002656</t>
        </is>
      </c>
      <c r="AZ457" t="inlineStr">
        <is>
          <t>BOOK</t>
        </is>
      </c>
      <c r="BC457" t="inlineStr">
        <is>
          <t>32285003222501</t>
        </is>
      </c>
      <c r="BD457" t="inlineStr">
        <is>
          <t>893524815</t>
        </is>
      </c>
    </row>
    <row r="458">
      <c r="A458" t="inlineStr">
        <is>
          <t>No</t>
        </is>
      </c>
      <c r="B458" t="inlineStr">
        <is>
          <t>PJ3791 .P37 1997</t>
        </is>
      </c>
      <c r="C458" t="inlineStr">
        <is>
          <t>0                      PJ 3791000P  37          1997</t>
        </is>
      </c>
      <c r="D458" t="inlineStr">
        <is>
          <t>Assyrian Prophecies / Simo Parpola ; illustrations edited by Julian Reade and Simo Parpola.</t>
        </is>
      </c>
      <c r="F458" t="inlineStr">
        <is>
          <t>No</t>
        </is>
      </c>
      <c r="G458" t="inlineStr">
        <is>
          <t>1</t>
        </is>
      </c>
      <c r="H458" t="inlineStr">
        <is>
          <t>No</t>
        </is>
      </c>
      <c r="I458" t="inlineStr">
        <is>
          <t>No</t>
        </is>
      </c>
      <c r="J458" t="inlineStr">
        <is>
          <t>0</t>
        </is>
      </c>
      <c r="K458" t="inlineStr">
        <is>
          <t>Parpola, Simo.</t>
        </is>
      </c>
      <c r="L458" t="inlineStr">
        <is>
          <t>Helsinki : Helsinki University Press, 1997.</t>
        </is>
      </c>
      <c r="M458" t="inlineStr">
        <is>
          <t>1997</t>
        </is>
      </c>
      <c r="O458" t="inlineStr">
        <is>
          <t>eng</t>
        </is>
      </c>
      <c r="P458" t="inlineStr">
        <is>
          <t xml:space="preserve">gw </t>
        </is>
      </c>
      <c r="Q458" t="inlineStr">
        <is>
          <t>State Archives of Assyria, published by the Neo-Assyrian Text Crrpus Project of the University of Helsinki in co-operation with Deutsche Orient-Gesellschaft ; volume 9</t>
        </is>
      </c>
      <c r="R458" t="inlineStr">
        <is>
          <t xml:space="preserve">PJ </t>
        </is>
      </c>
      <c r="S458" t="n">
        <v>2</v>
      </c>
      <c r="T458" t="n">
        <v>2</v>
      </c>
      <c r="U458" t="inlineStr">
        <is>
          <t>2006-11-14</t>
        </is>
      </c>
      <c r="V458" t="inlineStr">
        <is>
          <t>2006-11-14</t>
        </is>
      </c>
      <c r="W458" t="inlineStr">
        <is>
          <t>2000-01-13</t>
        </is>
      </c>
      <c r="X458" t="inlineStr">
        <is>
          <t>2000-01-13</t>
        </is>
      </c>
      <c r="Y458" t="n">
        <v>178</v>
      </c>
      <c r="Z458" t="n">
        <v>113</v>
      </c>
      <c r="AA458" t="n">
        <v>115</v>
      </c>
      <c r="AB458" t="n">
        <v>1</v>
      </c>
      <c r="AC458" t="n">
        <v>1</v>
      </c>
      <c r="AD458" t="n">
        <v>4</v>
      </c>
      <c r="AE458" t="n">
        <v>4</v>
      </c>
      <c r="AF458" t="n">
        <v>1</v>
      </c>
      <c r="AG458" t="n">
        <v>1</v>
      </c>
      <c r="AH458" t="n">
        <v>2</v>
      </c>
      <c r="AI458" t="n">
        <v>2</v>
      </c>
      <c r="AJ458" t="n">
        <v>2</v>
      </c>
      <c r="AK458" t="n">
        <v>2</v>
      </c>
      <c r="AL458" t="n">
        <v>0</v>
      </c>
      <c r="AM458" t="n">
        <v>0</v>
      </c>
      <c r="AN458" t="n">
        <v>0</v>
      </c>
      <c r="AO458" t="n">
        <v>0</v>
      </c>
      <c r="AP458" t="inlineStr">
        <is>
          <t>No</t>
        </is>
      </c>
      <c r="AQ458" t="inlineStr">
        <is>
          <t>Yes</t>
        </is>
      </c>
      <c r="AR458">
        <f>HYPERLINK("http://catalog.hathitrust.org/Record/003492729","HathiTrust Record")</f>
        <v/>
      </c>
      <c r="AS458">
        <f>HYPERLINK("https://creighton-primo.hosted.exlibrisgroup.com/primo-explore/search?tab=default_tab&amp;search_scope=EVERYTHING&amp;vid=01CRU&amp;lang=en_US&amp;offset=0&amp;query=any,contains,991002934309702656","Catalog Record")</f>
        <v/>
      </c>
      <c r="AT458">
        <f>HYPERLINK("http://www.worldcat.org/oclc/39030112","WorldCat Record")</f>
        <v/>
      </c>
      <c r="AU458" t="inlineStr">
        <is>
          <t>42201913:eng</t>
        </is>
      </c>
      <c r="AV458" t="inlineStr">
        <is>
          <t>39030112</t>
        </is>
      </c>
      <c r="AW458" t="inlineStr">
        <is>
          <t>991002934309702656</t>
        </is>
      </c>
      <c r="AX458" t="inlineStr">
        <is>
          <t>991002934309702656</t>
        </is>
      </c>
      <c r="AY458" t="inlineStr">
        <is>
          <t>2272152900002656</t>
        </is>
      </c>
      <c r="AZ458" t="inlineStr">
        <is>
          <t>BOOK</t>
        </is>
      </c>
      <c r="BB458" t="inlineStr">
        <is>
          <t>9789515701664</t>
        </is>
      </c>
      <c r="BC458" t="inlineStr">
        <is>
          <t>32285003641957</t>
        </is>
      </c>
      <c r="BD458" t="inlineStr">
        <is>
          <t>893348121</t>
        </is>
      </c>
    </row>
    <row r="459">
      <c r="A459" t="inlineStr">
        <is>
          <t>No</t>
        </is>
      </c>
      <c r="B459" t="inlineStr">
        <is>
          <t>PJ3791 .T5 1976</t>
        </is>
      </c>
      <c r="C459" t="inlineStr">
        <is>
          <t>0                      PJ 3791000T  5           1976</t>
        </is>
      </c>
      <c r="D459" t="inlineStr">
        <is>
          <t>The devils and evil spirits of Babylonia : being Babylonian and Assyrian incantations against the demons, ghouls, vampires, hobglobins, ghosts, and kindred evil spirits, which attack mankind / translated from the original cuneiform texts, with transliterations, vocabulary, notes, etc. by R. Campbell Thompson.</t>
        </is>
      </c>
      <c r="E459" t="inlineStr">
        <is>
          <t>V.1</t>
        </is>
      </c>
      <c r="F459" t="inlineStr">
        <is>
          <t>Yes</t>
        </is>
      </c>
      <c r="G459" t="inlineStr">
        <is>
          <t>1</t>
        </is>
      </c>
      <c r="H459" t="inlineStr">
        <is>
          <t>No</t>
        </is>
      </c>
      <c r="I459" t="inlineStr">
        <is>
          <t>No</t>
        </is>
      </c>
      <c r="J459" t="inlineStr">
        <is>
          <t>0</t>
        </is>
      </c>
      <c r="K459" t="inlineStr">
        <is>
          <t>Thompson, R. Campbell (Reginald Campbell), 1876-1941, translator.</t>
        </is>
      </c>
      <c r="L459" t="inlineStr">
        <is>
          <t>New York : AMS Press, 1976.</t>
        </is>
      </c>
      <c r="M459" t="inlineStr">
        <is>
          <t>1976</t>
        </is>
      </c>
      <c r="O459" t="inlineStr">
        <is>
          <t>eng</t>
        </is>
      </c>
      <c r="P459" t="inlineStr">
        <is>
          <t>nyu</t>
        </is>
      </c>
      <c r="R459" t="inlineStr">
        <is>
          <t xml:space="preserve">PJ </t>
        </is>
      </c>
      <c r="S459" t="n">
        <v>1</v>
      </c>
      <c r="T459" t="n">
        <v>3</v>
      </c>
      <c r="U459" t="inlineStr">
        <is>
          <t>1992-11-16</t>
        </is>
      </c>
      <c r="V459" t="inlineStr">
        <is>
          <t>1992-11-16</t>
        </is>
      </c>
      <c r="W459" t="inlineStr">
        <is>
          <t>1992-02-06</t>
        </is>
      </c>
      <c r="X459" t="inlineStr">
        <is>
          <t>1992-02-06</t>
        </is>
      </c>
      <c r="Y459" t="n">
        <v>122</v>
      </c>
      <c r="Z459" t="n">
        <v>98</v>
      </c>
      <c r="AA459" t="n">
        <v>105</v>
      </c>
      <c r="AB459" t="n">
        <v>1</v>
      </c>
      <c r="AC459" t="n">
        <v>1</v>
      </c>
      <c r="AD459" t="n">
        <v>4</v>
      </c>
      <c r="AE459" t="n">
        <v>4</v>
      </c>
      <c r="AF459" t="n">
        <v>2</v>
      </c>
      <c r="AG459" t="n">
        <v>2</v>
      </c>
      <c r="AH459" t="n">
        <v>0</v>
      </c>
      <c r="AI459" t="n">
        <v>0</v>
      </c>
      <c r="AJ459" t="n">
        <v>3</v>
      </c>
      <c r="AK459" t="n">
        <v>3</v>
      </c>
      <c r="AL459" t="n">
        <v>0</v>
      </c>
      <c r="AM459" t="n">
        <v>0</v>
      </c>
      <c r="AN459" t="n">
        <v>0</v>
      </c>
      <c r="AO459" t="n">
        <v>0</v>
      </c>
      <c r="AP459" t="inlineStr">
        <is>
          <t>No</t>
        </is>
      </c>
      <c r="AQ459" t="inlineStr">
        <is>
          <t>Yes</t>
        </is>
      </c>
      <c r="AR459">
        <f>HYPERLINK("http://catalog.hathitrust.org/Record/006930632","HathiTrust Record")</f>
        <v/>
      </c>
      <c r="AS459">
        <f>HYPERLINK("https://creighton-primo.hosted.exlibrisgroup.com/primo-explore/search?tab=default_tab&amp;search_scope=EVERYTHING&amp;vid=01CRU&amp;lang=en_US&amp;offset=0&amp;query=any,contains,991003950569702656","Catalog Record")</f>
        <v/>
      </c>
      <c r="AT459">
        <f>HYPERLINK("http://www.worldcat.org/oclc/1957956","WorldCat Record")</f>
        <v/>
      </c>
      <c r="AU459" t="inlineStr">
        <is>
          <t>9020746148:eng</t>
        </is>
      </c>
      <c r="AV459" t="inlineStr">
        <is>
          <t>1957956</t>
        </is>
      </c>
      <c r="AW459" t="inlineStr">
        <is>
          <t>991003950569702656</t>
        </is>
      </c>
      <c r="AX459" t="inlineStr">
        <is>
          <t>991003950569702656</t>
        </is>
      </c>
      <c r="AY459" t="inlineStr">
        <is>
          <t>2264650450002656</t>
        </is>
      </c>
      <c r="AZ459" t="inlineStr">
        <is>
          <t>BOOK</t>
        </is>
      </c>
      <c r="BB459" t="inlineStr">
        <is>
          <t>9780404113537</t>
        </is>
      </c>
      <c r="BC459" t="inlineStr">
        <is>
          <t>32285000934959</t>
        </is>
      </c>
      <c r="BD459" t="inlineStr">
        <is>
          <t>893794306</t>
        </is>
      </c>
    </row>
    <row r="460">
      <c r="A460" t="inlineStr">
        <is>
          <t>No</t>
        </is>
      </c>
      <c r="B460" t="inlineStr">
        <is>
          <t>PJ3791 .T5 1976</t>
        </is>
      </c>
      <c r="C460" t="inlineStr">
        <is>
          <t>0                      PJ 3791000T  5           1976</t>
        </is>
      </c>
      <c r="D460" t="inlineStr">
        <is>
          <t>The devils and evil spirits of Babylonia : being Babylonian and Assyrian incantations against the demons, ghouls, vampires, hobglobins, ghosts, and kindred evil spirits, which attack mankind / translated from the original cuneiform texts, with transliterations, vocabulary, notes, etc. by R. Campbell Thompson.</t>
        </is>
      </c>
      <c r="E460" t="inlineStr">
        <is>
          <t>V.2</t>
        </is>
      </c>
      <c r="F460" t="inlineStr">
        <is>
          <t>Yes</t>
        </is>
      </c>
      <c r="G460" t="inlineStr">
        <is>
          <t>1</t>
        </is>
      </c>
      <c r="H460" t="inlineStr">
        <is>
          <t>No</t>
        </is>
      </c>
      <c r="I460" t="inlineStr">
        <is>
          <t>No</t>
        </is>
      </c>
      <c r="J460" t="inlineStr">
        <is>
          <t>0</t>
        </is>
      </c>
      <c r="K460" t="inlineStr">
        <is>
          <t>Thompson, R. Campbell (Reginald Campbell), 1876-1941, translator.</t>
        </is>
      </c>
      <c r="L460" t="inlineStr">
        <is>
          <t>New York : AMS Press, 1976.</t>
        </is>
      </c>
      <c r="M460" t="inlineStr">
        <is>
          <t>1976</t>
        </is>
      </c>
      <c r="O460" t="inlineStr">
        <is>
          <t>eng</t>
        </is>
      </c>
      <c r="P460" t="inlineStr">
        <is>
          <t>nyu</t>
        </is>
      </c>
      <c r="R460" t="inlineStr">
        <is>
          <t xml:space="preserve">PJ </t>
        </is>
      </c>
      <c r="S460" t="n">
        <v>2</v>
      </c>
      <c r="T460" t="n">
        <v>3</v>
      </c>
      <c r="U460" t="inlineStr">
        <is>
          <t>1992-11-16</t>
        </is>
      </c>
      <c r="V460" t="inlineStr">
        <is>
          <t>1992-11-16</t>
        </is>
      </c>
      <c r="W460" t="inlineStr">
        <is>
          <t>1992-02-06</t>
        </is>
      </c>
      <c r="X460" t="inlineStr">
        <is>
          <t>1992-02-06</t>
        </is>
      </c>
      <c r="Y460" t="n">
        <v>122</v>
      </c>
      <c r="Z460" t="n">
        <v>98</v>
      </c>
      <c r="AA460" t="n">
        <v>105</v>
      </c>
      <c r="AB460" t="n">
        <v>1</v>
      </c>
      <c r="AC460" t="n">
        <v>1</v>
      </c>
      <c r="AD460" t="n">
        <v>4</v>
      </c>
      <c r="AE460" t="n">
        <v>4</v>
      </c>
      <c r="AF460" t="n">
        <v>2</v>
      </c>
      <c r="AG460" t="n">
        <v>2</v>
      </c>
      <c r="AH460" t="n">
        <v>0</v>
      </c>
      <c r="AI460" t="n">
        <v>0</v>
      </c>
      <c r="AJ460" t="n">
        <v>3</v>
      </c>
      <c r="AK460" t="n">
        <v>3</v>
      </c>
      <c r="AL460" t="n">
        <v>0</v>
      </c>
      <c r="AM460" t="n">
        <v>0</v>
      </c>
      <c r="AN460" t="n">
        <v>0</v>
      </c>
      <c r="AO460" t="n">
        <v>0</v>
      </c>
      <c r="AP460" t="inlineStr">
        <is>
          <t>No</t>
        </is>
      </c>
      <c r="AQ460" t="inlineStr">
        <is>
          <t>Yes</t>
        </is>
      </c>
      <c r="AR460">
        <f>HYPERLINK("http://catalog.hathitrust.org/Record/006930632","HathiTrust Record")</f>
        <v/>
      </c>
      <c r="AS460">
        <f>HYPERLINK("https://creighton-primo.hosted.exlibrisgroup.com/primo-explore/search?tab=default_tab&amp;search_scope=EVERYTHING&amp;vid=01CRU&amp;lang=en_US&amp;offset=0&amp;query=any,contains,991003950569702656","Catalog Record")</f>
        <v/>
      </c>
      <c r="AT460">
        <f>HYPERLINK("http://www.worldcat.org/oclc/1957956","WorldCat Record")</f>
        <v/>
      </c>
      <c r="AU460" t="inlineStr">
        <is>
          <t>9020746148:eng</t>
        </is>
      </c>
      <c r="AV460" t="inlineStr">
        <is>
          <t>1957956</t>
        </is>
      </c>
      <c r="AW460" t="inlineStr">
        <is>
          <t>991003950569702656</t>
        </is>
      </c>
      <c r="AX460" t="inlineStr">
        <is>
          <t>991003950569702656</t>
        </is>
      </c>
      <c r="AY460" t="inlineStr">
        <is>
          <t>2264650450002656</t>
        </is>
      </c>
      <c r="AZ460" t="inlineStr">
        <is>
          <t>BOOK</t>
        </is>
      </c>
      <c r="BB460" t="inlineStr">
        <is>
          <t>9780404113537</t>
        </is>
      </c>
      <c r="BC460" t="inlineStr">
        <is>
          <t>32285000934967</t>
        </is>
      </c>
      <c r="BD460" t="inlineStr">
        <is>
          <t>893806464</t>
        </is>
      </c>
    </row>
    <row r="461">
      <c r="A461" t="inlineStr">
        <is>
          <t>No</t>
        </is>
      </c>
      <c r="B461" t="inlineStr">
        <is>
          <t>PJ3837 .T57 1994</t>
        </is>
      </c>
      <c r="C461" t="inlineStr">
        <is>
          <t>0                      PJ 3837000T  57          1994</t>
        </is>
      </c>
      <c r="D461" t="inlineStr">
        <is>
          <t>The inscriptions of Tiglath-pileser III, King of Assyria / critical edition, with introductions, translations, and commentary by Hayim Tadmor.</t>
        </is>
      </c>
      <c r="F461" t="inlineStr">
        <is>
          <t>No</t>
        </is>
      </c>
      <c r="G461" t="inlineStr">
        <is>
          <t>1</t>
        </is>
      </c>
      <c r="H461" t="inlineStr">
        <is>
          <t>No</t>
        </is>
      </c>
      <c r="I461" t="inlineStr">
        <is>
          <t>No</t>
        </is>
      </c>
      <c r="J461" t="inlineStr">
        <is>
          <t>0</t>
        </is>
      </c>
      <c r="L461" t="inlineStr">
        <is>
          <t>Jerusalem : Israel Academy of Sciences and Humanities, 1994.</t>
        </is>
      </c>
      <c r="M461" t="inlineStr">
        <is>
          <t>1994</t>
        </is>
      </c>
      <c r="O461" t="inlineStr">
        <is>
          <t>eng</t>
        </is>
      </c>
      <c r="P461" t="inlineStr">
        <is>
          <t xml:space="preserve">is </t>
        </is>
      </c>
      <c r="Q461" t="inlineStr">
        <is>
          <t>Publications of the Israel Academy of Sciences and Humanities, Section of Humanities</t>
        </is>
      </c>
      <c r="R461" t="inlineStr">
        <is>
          <t xml:space="preserve">PJ </t>
        </is>
      </c>
      <c r="S461" t="n">
        <v>6</v>
      </c>
      <c r="T461" t="n">
        <v>6</v>
      </c>
      <c r="U461" t="inlineStr">
        <is>
          <t>2007-11-21</t>
        </is>
      </c>
      <c r="V461" t="inlineStr">
        <is>
          <t>2007-11-21</t>
        </is>
      </c>
      <c r="W461" t="inlineStr">
        <is>
          <t>1997-07-10</t>
        </is>
      </c>
      <c r="X461" t="inlineStr">
        <is>
          <t>1997-07-10</t>
        </is>
      </c>
      <c r="Y461" t="n">
        <v>99</v>
      </c>
      <c r="Z461" t="n">
        <v>77</v>
      </c>
      <c r="AA461" t="n">
        <v>86</v>
      </c>
      <c r="AB461" t="n">
        <v>1</v>
      </c>
      <c r="AC461" t="n">
        <v>1</v>
      </c>
      <c r="AD461" t="n">
        <v>2</v>
      </c>
      <c r="AE461" t="n">
        <v>3</v>
      </c>
      <c r="AF461" t="n">
        <v>0</v>
      </c>
      <c r="AG461" t="n">
        <v>0</v>
      </c>
      <c r="AH461" t="n">
        <v>1</v>
      </c>
      <c r="AI461" t="n">
        <v>1</v>
      </c>
      <c r="AJ461" t="n">
        <v>2</v>
      </c>
      <c r="AK461" t="n">
        <v>3</v>
      </c>
      <c r="AL461" t="n">
        <v>0</v>
      </c>
      <c r="AM461" t="n">
        <v>0</v>
      </c>
      <c r="AN461" t="n">
        <v>0</v>
      </c>
      <c r="AO461" t="n">
        <v>0</v>
      </c>
      <c r="AP461" t="inlineStr">
        <is>
          <t>No</t>
        </is>
      </c>
      <c r="AQ461" t="inlineStr">
        <is>
          <t>Yes</t>
        </is>
      </c>
      <c r="AR461">
        <f>HYPERLINK("http://catalog.hathitrust.org/Record/003794931","HathiTrust Record")</f>
        <v/>
      </c>
      <c r="AS461">
        <f>HYPERLINK("https://creighton-primo.hosted.exlibrisgroup.com/primo-explore/search?tab=default_tab&amp;search_scope=EVERYTHING&amp;vid=01CRU&amp;lang=en_US&amp;offset=0&amp;query=any,contains,991002624279702656","Catalog Record")</f>
        <v/>
      </c>
      <c r="AT461">
        <f>HYPERLINK("http://www.worldcat.org/oclc/34410026","WorldCat Record")</f>
        <v/>
      </c>
      <c r="AU461" t="inlineStr">
        <is>
          <t>365075464:eng</t>
        </is>
      </c>
      <c r="AV461" t="inlineStr">
        <is>
          <t>34410026</t>
        </is>
      </c>
      <c r="AW461" t="inlineStr">
        <is>
          <t>991002624279702656</t>
        </is>
      </c>
      <c r="AX461" t="inlineStr">
        <is>
          <t>991002624279702656</t>
        </is>
      </c>
      <c r="AY461" t="inlineStr">
        <is>
          <t>2263722120002656</t>
        </is>
      </c>
      <c r="AZ461" t="inlineStr">
        <is>
          <t>BOOK</t>
        </is>
      </c>
      <c r="BB461" t="inlineStr">
        <is>
          <t>9789652081117</t>
        </is>
      </c>
      <c r="BC461" t="inlineStr">
        <is>
          <t>32285002881455</t>
        </is>
      </c>
      <c r="BD461" t="inlineStr">
        <is>
          <t>893804825</t>
        </is>
      </c>
    </row>
    <row r="462">
      <c r="A462" t="inlineStr">
        <is>
          <t>No</t>
        </is>
      </c>
      <c r="B462" t="inlineStr">
        <is>
          <t>PJ3882 .L46 1993</t>
        </is>
      </c>
      <c r="C462" t="inlineStr">
        <is>
          <t>0                      PJ 3882000L  46          1993</t>
        </is>
      </c>
      <c r="D462" t="inlineStr">
        <is>
          <t>Letters from early Mesopotamia / by Piotr Michalowski ; edited by Erica Reiner.</t>
        </is>
      </c>
      <c r="F462" t="inlineStr">
        <is>
          <t>No</t>
        </is>
      </c>
      <c r="G462" t="inlineStr">
        <is>
          <t>1</t>
        </is>
      </c>
      <c r="H462" t="inlineStr">
        <is>
          <t>No</t>
        </is>
      </c>
      <c r="I462" t="inlineStr">
        <is>
          <t>No</t>
        </is>
      </c>
      <c r="J462" t="inlineStr">
        <is>
          <t>0</t>
        </is>
      </c>
      <c r="L462" t="inlineStr">
        <is>
          <t>Atlanta, Ga. : Scholars Press, 1993.</t>
        </is>
      </c>
      <c r="M462" t="inlineStr">
        <is>
          <t>1993</t>
        </is>
      </c>
      <c r="O462" t="inlineStr">
        <is>
          <t>eng</t>
        </is>
      </c>
      <c r="P462" t="inlineStr">
        <is>
          <t>gau</t>
        </is>
      </c>
      <c r="Q462" t="inlineStr">
        <is>
          <t>Writings from the ancient world ; 3</t>
        </is>
      </c>
      <c r="R462" t="inlineStr">
        <is>
          <t xml:space="preserve">PJ </t>
        </is>
      </c>
      <c r="S462" t="n">
        <v>4</v>
      </c>
      <c r="T462" t="n">
        <v>4</v>
      </c>
      <c r="U462" t="inlineStr">
        <is>
          <t>1998-08-30</t>
        </is>
      </c>
      <c r="V462" t="inlineStr">
        <is>
          <t>1998-08-30</t>
        </is>
      </c>
      <c r="W462" t="inlineStr">
        <is>
          <t>1995-01-09</t>
        </is>
      </c>
      <c r="X462" t="inlineStr">
        <is>
          <t>1995-01-09</t>
        </is>
      </c>
      <c r="Y462" t="n">
        <v>360</v>
      </c>
      <c r="Z462" t="n">
        <v>266</v>
      </c>
      <c r="AA462" t="n">
        <v>435</v>
      </c>
      <c r="AB462" t="n">
        <v>2</v>
      </c>
      <c r="AC462" t="n">
        <v>3</v>
      </c>
      <c r="AD462" t="n">
        <v>15</v>
      </c>
      <c r="AE462" t="n">
        <v>25</v>
      </c>
      <c r="AF462" t="n">
        <v>6</v>
      </c>
      <c r="AG462" t="n">
        <v>10</v>
      </c>
      <c r="AH462" t="n">
        <v>4</v>
      </c>
      <c r="AI462" t="n">
        <v>8</v>
      </c>
      <c r="AJ462" t="n">
        <v>6</v>
      </c>
      <c r="AK462" t="n">
        <v>10</v>
      </c>
      <c r="AL462" t="n">
        <v>1</v>
      </c>
      <c r="AM462" t="n">
        <v>2</v>
      </c>
      <c r="AN462" t="n">
        <v>0</v>
      </c>
      <c r="AO462" t="n">
        <v>0</v>
      </c>
      <c r="AP462" t="inlineStr">
        <is>
          <t>No</t>
        </is>
      </c>
      <c r="AQ462" t="inlineStr">
        <is>
          <t>Yes</t>
        </is>
      </c>
      <c r="AR462">
        <f>HYPERLINK("http://catalog.hathitrust.org/Record/002882401","HathiTrust Record")</f>
        <v/>
      </c>
      <c r="AS462">
        <f>HYPERLINK("https://creighton-primo.hosted.exlibrisgroup.com/primo-explore/search?tab=default_tab&amp;search_scope=EVERYTHING&amp;vid=01CRU&amp;lang=en_US&amp;offset=0&amp;query=any,contains,991002120109702656","Catalog Record")</f>
        <v/>
      </c>
      <c r="AT462">
        <f>HYPERLINK("http://www.worldcat.org/oclc/27172920","WorldCat Record")</f>
        <v/>
      </c>
      <c r="AU462" t="inlineStr">
        <is>
          <t>351122261:eng</t>
        </is>
      </c>
      <c r="AV462" t="inlineStr">
        <is>
          <t>27172920</t>
        </is>
      </c>
      <c r="AW462" t="inlineStr">
        <is>
          <t>991002120109702656</t>
        </is>
      </c>
      <c r="AX462" t="inlineStr">
        <is>
          <t>991002120109702656</t>
        </is>
      </c>
      <c r="AY462" t="inlineStr">
        <is>
          <t>2271317710002656</t>
        </is>
      </c>
      <c r="AZ462" t="inlineStr">
        <is>
          <t>BOOK</t>
        </is>
      </c>
      <c r="BB462" t="inlineStr">
        <is>
          <t>9781555408190</t>
        </is>
      </c>
      <c r="BC462" t="inlineStr">
        <is>
          <t>32285001991594</t>
        </is>
      </c>
      <c r="BD462" t="inlineStr">
        <is>
          <t>893427228</t>
        </is>
      </c>
    </row>
    <row r="463">
      <c r="A463" t="inlineStr">
        <is>
          <t>No</t>
        </is>
      </c>
      <c r="B463" t="inlineStr">
        <is>
          <t>PJ3885 .C63 1999</t>
        </is>
      </c>
      <c r="C463" t="inlineStr">
        <is>
          <t>0                      PJ 3885000C  63          1999</t>
        </is>
      </c>
      <c r="D463" t="inlineStr">
        <is>
          <t>Royal gifts in the late Bronze Age, fourteenth to thirteenth centuries B.C.E. : selected texts recording gifts to royal personages / transcriptions and translations by Zipora Cochavi-Rainey ; with archaeological contributions by Christine Lilyquist.</t>
        </is>
      </c>
      <c r="F463" t="inlineStr">
        <is>
          <t>No</t>
        </is>
      </c>
      <c r="G463" t="inlineStr">
        <is>
          <t>1</t>
        </is>
      </c>
      <c r="H463" t="inlineStr">
        <is>
          <t>No</t>
        </is>
      </c>
      <c r="I463" t="inlineStr">
        <is>
          <t>No</t>
        </is>
      </c>
      <c r="J463" t="inlineStr">
        <is>
          <t>0</t>
        </is>
      </c>
      <c r="K463" t="inlineStr">
        <is>
          <t>Cochavi-Rainey, Zipora.</t>
        </is>
      </c>
      <c r="L463" t="inlineStr">
        <is>
          <t>[Beersheba] : Ben-Guryon University of the Negev Press, 1999.</t>
        </is>
      </c>
      <c r="M463" t="inlineStr">
        <is>
          <t>1999</t>
        </is>
      </c>
      <c r="O463" t="inlineStr">
        <is>
          <t>eng</t>
        </is>
      </c>
      <c r="P463" t="inlineStr">
        <is>
          <t xml:space="preserve">is </t>
        </is>
      </c>
      <c r="Q463" t="inlineStr">
        <is>
          <t>Beʼer-Shevaʻ ; kerekh 13</t>
        </is>
      </c>
      <c r="R463" t="inlineStr">
        <is>
          <t xml:space="preserve">PJ </t>
        </is>
      </c>
      <c r="S463" t="n">
        <v>1</v>
      </c>
      <c r="T463" t="n">
        <v>1</v>
      </c>
      <c r="U463" t="inlineStr">
        <is>
          <t>2001-01-04</t>
        </is>
      </c>
      <c r="V463" t="inlineStr">
        <is>
          <t>2001-01-04</t>
        </is>
      </c>
      <c r="W463" t="inlineStr">
        <is>
          <t>2001-01-04</t>
        </is>
      </c>
      <c r="X463" t="inlineStr">
        <is>
          <t>2001-01-04</t>
        </is>
      </c>
      <c r="Y463" t="n">
        <v>103</v>
      </c>
      <c r="Z463" t="n">
        <v>77</v>
      </c>
      <c r="AA463" t="n">
        <v>77</v>
      </c>
      <c r="AB463" t="n">
        <v>2</v>
      </c>
      <c r="AC463" t="n">
        <v>2</v>
      </c>
      <c r="AD463" t="n">
        <v>4</v>
      </c>
      <c r="AE463" t="n">
        <v>4</v>
      </c>
      <c r="AF463" t="n">
        <v>0</v>
      </c>
      <c r="AG463" t="n">
        <v>0</v>
      </c>
      <c r="AH463" t="n">
        <v>2</v>
      </c>
      <c r="AI463" t="n">
        <v>2</v>
      </c>
      <c r="AJ463" t="n">
        <v>3</v>
      </c>
      <c r="AK463" t="n">
        <v>3</v>
      </c>
      <c r="AL463" t="n">
        <v>1</v>
      </c>
      <c r="AM463" t="n">
        <v>1</v>
      </c>
      <c r="AN463" t="n">
        <v>0</v>
      </c>
      <c r="AO463" t="n">
        <v>0</v>
      </c>
      <c r="AP463" t="inlineStr">
        <is>
          <t>No</t>
        </is>
      </c>
      <c r="AQ463" t="inlineStr">
        <is>
          <t>No</t>
        </is>
      </c>
      <c r="AS463">
        <f>HYPERLINK("https://creighton-primo.hosted.exlibrisgroup.com/primo-explore/search?tab=default_tab&amp;search_scope=EVERYTHING&amp;vid=01CRU&amp;lang=en_US&amp;offset=0&amp;query=any,contains,991003317499702656","Catalog Record")</f>
        <v/>
      </c>
      <c r="AT463">
        <f>HYPERLINK("http://www.worldcat.org/oclc/42520544","WorldCat Record")</f>
        <v/>
      </c>
      <c r="AU463" t="inlineStr">
        <is>
          <t>935225451:eng</t>
        </is>
      </c>
      <c r="AV463" t="inlineStr">
        <is>
          <t>42520544</t>
        </is>
      </c>
      <c r="AW463" t="inlineStr">
        <is>
          <t>991003317499702656</t>
        </is>
      </c>
      <c r="AX463" t="inlineStr">
        <is>
          <t>991003317499702656</t>
        </is>
      </c>
      <c r="AY463" t="inlineStr">
        <is>
          <t>2263075980002656</t>
        </is>
      </c>
      <c r="AZ463" t="inlineStr">
        <is>
          <t>BOOK</t>
        </is>
      </c>
      <c r="BC463" t="inlineStr">
        <is>
          <t>32285004279500</t>
        </is>
      </c>
      <c r="BD463" t="inlineStr">
        <is>
          <t>893234048</t>
        </is>
      </c>
    </row>
    <row r="464">
      <c r="A464" t="inlineStr">
        <is>
          <t>No</t>
        </is>
      </c>
      <c r="B464" t="inlineStr">
        <is>
          <t>PJ3921.M3 T5 1977</t>
        </is>
      </c>
      <c r="C464" t="inlineStr">
        <is>
          <t>0                      PJ 3921000M  3                  T  5           1977</t>
        </is>
      </c>
      <c r="D464" t="inlineStr">
        <is>
          <t>The reports of the magicians and astrologers of Nineveh and Babylon in the British Museum : the original texts, printed in cuneiform characters / edited with translations, notes, vocabulary, index, and an introd. by R. Campbell Thompson.</t>
        </is>
      </c>
      <c r="E464" t="inlineStr">
        <is>
          <t>V.2</t>
        </is>
      </c>
      <c r="F464" t="inlineStr">
        <is>
          <t>Yes</t>
        </is>
      </c>
      <c r="G464" t="inlineStr">
        <is>
          <t>1</t>
        </is>
      </c>
      <c r="H464" t="inlineStr">
        <is>
          <t>No</t>
        </is>
      </c>
      <c r="I464" t="inlineStr">
        <is>
          <t>No</t>
        </is>
      </c>
      <c r="J464" t="inlineStr">
        <is>
          <t>0</t>
        </is>
      </c>
      <c r="K464" t="inlineStr">
        <is>
          <t>Thompson, R. Campbell (Reginald Campbell), 1876-1941, editor.</t>
        </is>
      </c>
      <c r="L464" t="inlineStr">
        <is>
          <t>[New York : AMS Press, 1977]</t>
        </is>
      </c>
      <c r="M464" t="inlineStr">
        <is>
          <t>1977</t>
        </is>
      </c>
      <c r="O464" t="inlineStr">
        <is>
          <t>eng</t>
        </is>
      </c>
      <c r="P464" t="inlineStr">
        <is>
          <t>nyu</t>
        </is>
      </c>
      <c r="R464" t="inlineStr">
        <is>
          <t xml:space="preserve">PJ </t>
        </is>
      </c>
      <c r="S464" t="n">
        <v>3</v>
      </c>
      <c r="T464" t="n">
        <v>6</v>
      </c>
      <c r="U464" t="inlineStr">
        <is>
          <t>1999-08-17</t>
        </is>
      </c>
      <c r="V464" t="inlineStr">
        <is>
          <t>1999-08-17</t>
        </is>
      </c>
      <c r="W464" t="inlineStr">
        <is>
          <t>1992-05-15</t>
        </is>
      </c>
      <c r="X464" t="inlineStr">
        <is>
          <t>1993-04-28</t>
        </is>
      </c>
      <c r="Y464" t="n">
        <v>72</v>
      </c>
      <c r="Z464" t="n">
        <v>53</v>
      </c>
      <c r="AA464" t="n">
        <v>138</v>
      </c>
      <c r="AB464" t="n">
        <v>1</v>
      </c>
      <c r="AC464" t="n">
        <v>3</v>
      </c>
      <c r="AD464" t="n">
        <v>0</v>
      </c>
      <c r="AE464" t="n">
        <v>7</v>
      </c>
      <c r="AF464" t="n">
        <v>0</v>
      </c>
      <c r="AG464" t="n">
        <v>1</v>
      </c>
      <c r="AH464" t="n">
        <v>0</v>
      </c>
      <c r="AI464" t="n">
        <v>2</v>
      </c>
      <c r="AJ464" t="n">
        <v>0</v>
      </c>
      <c r="AK464" t="n">
        <v>2</v>
      </c>
      <c r="AL464" t="n">
        <v>0</v>
      </c>
      <c r="AM464" t="n">
        <v>2</v>
      </c>
      <c r="AN464" t="n">
        <v>0</v>
      </c>
      <c r="AO464" t="n">
        <v>0</v>
      </c>
      <c r="AP464" t="inlineStr">
        <is>
          <t>No</t>
        </is>
      </c>
      <c r="AQ464" t="inlineStr">
        <is>
          <t>Yes</t>
        </is>
      </c>
      <c r="AR464">
        <f>HYPERLINK("http://catalog.hathitrust.org/Record/007435429","HathiTrust Record")</f>
        <v/>
      </c>
      <c r="AS464">
        <f>HYPERLINK("https://creighton-primo.hosted.exlibrisgroup.com/primo-explore/search?tab=default_tab&amp;search_scope=EVERYTHING&amp;vid=01CRU&amp;lang=en_US&amp;offset=0&amp;query=any,contains,991004184349702656","Catalog Record")</f>
        <v/>
      </c>
      <c r="AT464">
        <f>HYPERLINK("http://www.worldcat.org/oclc/2614132","WorldCat Record")</f>
        <v/>
      </c>
      <c r="AU464" t="inlineStr">
        <is>
          <t>5548477:eng</t>
        </is>
      </c>
      <c r="AV464" t="inlineStr">
        <is>
          <t>2614132</t>
        </is>
      </c>
      <c r="AW464" t="inlineStr">
        <is>
          <t>991004184349702656</t>
        </is>
      </c>
      <c r="AX464" t="inlineStr">
        <is>
          <t>991004184349702656</t>
        </is>
      </c>
      <c r="AY464" t="inlineStr">
        <is>
          <t>2265921300002656</t>
        </is>
      </c>
      <c r="AZ464" t="inlineStr">
        <is>
          <t>BOOK</t>
        </is>
      </c>
      <c r="BB464" t="inlineStr">
        <is>
          <t>9780404113582</t>
        </is>
      </c>
      <c r="BC464" t="inlineStr">
        <is>
          <t>32285001110500</t>
        </is>
      </c>
      <c r="BD464" t="inlineStr">
        <is>
          <t>893800696</t>
        </is>
      </c>
    </row>
    <row r="465">
      <c r="A465" t="inlineStr">
        <is>
          <t>No</t>
        </is>
      </c>
      <c r="B465" t="inlineStr">
        <is>
          <t>PJ3921.M3 T5 1977</t>
        </is>
      </c>
      <c r="C465" t="inlineStr">
        <is>
          <t>0                      PJ 3921000M  3                  T  5           1977</t>
        </is>
      </c>
      <c r="D465" t="inlineStr">
        <is>
          <t>The reports of the magicians and astrologers of Nineveh and Babylon in the British Museum : the original texts, printed in cuneiform characters / edited with translations, notes, vocabulary, index, and an introd. by R. Campbell Thompson.</t>
        </is>
      </c>
      <c r="E465" t="inlineStr">
        <is>
          <t>V.1</t>
        </is>
      </c>
      <c r="F465" t="inlineStr">
        <is>
          <t>Yes</t>
        </is>
      </c>
      <c r="G465" t="inlineStr">
        <is>
          <t>1</t>
        </is>
      </c>
      <c r="H465" t="inlineStr">
        <is>
          <t>No</t>
        </is>
      </c>
      <c r="I465" t="inlineStr">
        <is>
          <t>No</t>
        </is>
      </c>
      <c r="J465" t="inlineStr">
        <is>
          <t>0</t>
        </is>
      </c>
      <c r="K465" t="inlineStr">
        <is>
          <t>Thompson, R. Campbell (Reginald Campbell), 1876-1941, editor.</t>
        </is>
      </c>
      <c r="L465" t="inlineStr">
        <is>
          <t>[New York : AMS Press, 1977]</t>
        </is>
      </c>
      <c r="M465" t="inlineStr">
        <is>
          <t>1977</t>
        </is>
      </c>
      <c r="O465" t="inlineStr">
        <is>
          <t>eng</t>
        </is>
      </c>
      <c r="P465" t="inlineStr">
        <is>
          <t>nyu</t>
        </is>
      </c>
      <c r="R465" t="inlineStr">
        <is>
          <t xml:space="preserve">PJ </t>
        </is>
      </c>
      <c r="S465" t="n">
        <v>3</v>
      </c>
      <c r="T465" t="n">
        <v>6</v>
      </c>
      <c r="U465" t="inlineStr">
        <is>
          <t>1999-08-17</t>
        </is>
      </c>
      <c r="V465" t="inlineStr">
        <is>
          <t>1999-08-17</t>
        </is>
      </c>
      <c r="W465" t="inlineStr">
        <is>
          <t>1993-04-28</t>
        </is>
      </c>
      <c r="X465" t="inlineStr">
        <is>
          <t>1993-04-28</t>
        </is>
      </c>
      <c r="Y465" t="n">
        <v>72</v>
      </c>
      <c r="Z465" t="n">
        <v>53</v>
      </c>
      <c r="AA465" t="n">
        <v>138</v>
      </c>
      <c r="AB465" t="n">
        <v>1</v>
      </c>
      <c r="AC465" t="n">
        <v>3</v>
      </c>
      <c r="AD465" t="n">
        <v>0</v>
      </c>
      <c r="AE465" t="n">
        <v>7</v>
      </c>
      <c r="AF465" t="n">
        <v>0</v>
      </c>
      <c r="AG465" t="n">
        <v>1</v>
      </c>
      <c r="AH465" t="n">
        <v>0</v>
      </c>
      <c r="AI465" t="n">
        <v>2</v>
      </c>
      <c r="AJ465" t="n">
        <v>0</v>
      </c>
      <c r="AK465" t="n">
        <v>2</v>
      </c>
      <c r="AL465" t="n">
        <v>0</v>
      </c>
      <c r="AM465" t="n">
        <v>2</v>
      </c>
      <c r="AN465" t="n">
        <v>0</v>
      </c>
      <c r="AO465" t="n">
        <v>0</v>
      </c>
      <c r="AP465" t="inlineStr">
        <is>
          <t>No</t>
        </is>
      </c>
      <c r="AQ465" t="inlineStr">
        <is>
          <t>Yes</t>
        </is>
      </c>
      <c r="AR465">
        <f>HYPERLINK("http://catalog.hathitrust.org/Record/007435429","HathiTrust Record")</f>
        <v/>
      </c>
      <c r="AS465">
        <f>HYPERLINK("https://creighton-primo.hosted.exlibrisgroup.com/primo-explore/search?tab=default_tab&amp;search_scope=EVERYTHING&amp;vid=01CRU&amp;lang=en_US&amp;offset=0&amp;query=any,contains,991004184349702656","Catalog Record")</f>
        <v/>
      </c>
      <c r="AT465">
        <f>HYPERLINK("http://www.worldcat.org/oclc/2614132","WorldCat Record")</f>
        <v/>
      </c>
      <c r="AU465" t="inlineStr">
        <is>
          <t>5548477:eng</t>
        </is>
      </c>
      <c r="AV465" t="inlineStr">
        <is>
          <t>2614132</t>
        </is>
      </c>
      <c r="AW465" t="inlineStr">
        <is>
          <t>991004184349702656</t>
        </is>
      </c>
      <c r="AX465" t="inlineStr">
        <is>
          <t>991004184349702656</t>
        </is>
      </c>
      <c r="AY465" t="inlineStr">
        <is>
          <t>2265921300002656</t>
        </is>
      </c>
      <c r="AZ465" t="inlineStr">
        <is>
          <t>BOOK</t>
        </is>
      </c>
      <c r="BB465" t="inlineStr">
        <is>
          <t>9780404113582</t>
        </is>
      </c>
      <c r="BC465" t="inlineStr">
        <is>
          <t>32285001670586</t>
        </is>
      </c>
      <c r="BD465" t="inlineStr">
        <is>
          <t>893781945</t>
        </is>
      </c>
    </row>
    <row r="466">
      <c r="A466" t="inlineStr">
        <is>
          <t>No</t>
        </is>
      </c>
      <c r="B466" t="inlineStr">
        <is>
          <t>PJ3953 .S3 1971</t>
        </is>
      </c>
      <c r="C466" t="inlineStr">
        <is>
          <t>0                      PJ 3953000S  3           1971</t>
        </is>
      </c>
      <c r="D466" t="inlineStr">
        <is>
          <t>Poems of heaven and hell from Ancient Mesopotamia / translated and introduced by N. K. Sandars.</t>
        </is>
      </c>
      <c r="F466" t="inlineStr">
        <is>
          <t>No</t>
        </is>
      </c>
      <c r="G466" t="inlineStr">
        <is>
          <t>1</t>
        </is>
      </c>
      <c r="H466" t="inlineStr">
        <is>
          <t>No</t>
        </is>
      </c>
      <c r="I466" t="inlineStr">
        <is>
          <t>No</t>
        </is>
      </c>
      <c r="J466" t="inlineStr">
        <is>
          <t>0</t>
        </is>
      </c>
      <c r="K466" t="inlineStr">
        <is>
          <t>Sandars, N. K. (Nancy K.) compiler.</t>
        </is>
      </c>
      <c r="L466" t="inlineStr">
        <is>
          <t>Harmondsworth : Penguin, 1971.</t>
        </is>
      </c>
      <c r="M466" t="inlineStr">
        <is>
          <t>1971</t>
        </is>
      </c>
      <c r="O466" t="inlineStr">
        <is>
          <t>eng</t>
        </is>
      </c>
      <c r="P466" t="inlineStr">
        <is>
          <t>enk</t>
        </is>
      </c>
      <c r="Q466" t="inlineStr">
        <is>
          <t>The Penguin classics</t>
        </is>
      </c>
      <c r="R466" t="inlineStr">
        <is>
          <t xml:space="preserve">PJ </t>
        </is>
      </c>
      <c r="S466" t="n">
        <v>5</v>
      </c>
      <c r="T466" t="n">
        <v>5</v>
      </c>
      <c r="U466" t="inlineStr">
        <is>
          <t>2009-04-21</t>
        </is>
      </c>
      <c r="V466" t="inlineStr">
        <is>
          <t>2009-04-21</t>
        </is>
      </c>
      <c r="W466" t="inlineStr">
        <is>
          <t>1997-09-11</t>
        </is>
      </c>
      <c r="X466" t="inlineStr">
        <is>
          <t>1997-09-11</t>
        </is>
      </c>
      <c r="Y466" t="n">
        <v>395</v>
      </c>
      <c r="Z466" t="n">
        <v>296</v>
      </c>
      <c r="AA466" t="n">
        <v>303</v>
      </c>
      <c r="AB466" t="n">
        <v>1</v>
      </c>
      <c r="AC466" t="n">
        <v>1</v>
      </c>
      <c r="AD466" t="n">
        <v>14</v>
      </c>
      <c r="AE466" t="n">
        <v>14</v>
      </c>
      <c r="AF466" t="n">
        <v>8</v>
      </c>
      <c r="AG466" t="n">
        <v>8</v>
      </c>
      <c r="AH466" t="n">
        <v>3</v>
      </c>
      <c r="AI466" t="n">
        <v>3</v>
      </c>
      <c r="AJ466" t="n">
        <v>6</v>
      </c>
      <c r="AK466" t="n">
        <v>6</v>
      </c>
      <c r="AL466" t="n">
        <v>0</v>
      </c>
      <c r="AM466" t="n">
        <v>0</v>
      </c>
      <c r="AN466" t="n">
        <v>0</v>
      </c>
      <c r="AO466" t="n">
        <v>0</v>
      </c>
      <c r="AP466" t="inlineStr">
        <is>
          <t>No</t>
        </is>
      </c>
      <c r="AQ466" t="inlineStr">
        <is>
          <t>Yes</t>
        </is>
      </c>
      <c r="AR466">
        <f>HYPERLINK("http://catalog.hathitrust.org/Record/000981977","HathiTrust Record")</f>
        <v/>
      </c>
      <c r="AS466">
        <f>HYPERLINK("https://creighton-primo.hosted.exlibrisgroup.com/primo-explore/search?tab=default_tab&amp;search_scope=EVERYTHING&amp;vid=01CRU&amp;lang=en_US&amp;offset=0&amp;query=any,contains,991002840149702656","Catalog Record")</f>
        <v/>
      </c>
      <c r="AT466">
        <f>HYPERLINK("http://www.worldcat.org/oclc/481777","WorldCat Record")</f>
        <v/>
      </c>
      <c r="AU466" t="inlineStr">
        <is>
          <t>1561209:eng</t>
        </is>
      </c>
      <c r="AV466" t="inlineStr">
        <is>
          <t>481777</t>
        </is>
      </c>
      <c r="AW466" t="inlineStr">
        <is>
          <t>991002840149702656</t>
        </is>
      </c>
      <c r="AX466" t="inlineStr">
        <is>
          <t>991002840149702656</t>
        </is>
      </c>
      <c r="AY466" t="inlineStr">
        <is>
          <t>2269384580002656</t>
        </is>
      </c>
      <c r="AZ466" t="inlineStr">
        <is>
          <t>BOOK</t>
        </is>
      </c>
      <c r="BB466" t="inlineStr">
        <is>
          <t>9780140442496</t>
        </is>
      </c>
      <c r="BC466" t="inlineStr">
        <is>
          <t>32285005517056</t>
        </is>
      </c>
      <c r="BD466" t="inlineStr">
        <is>
          <t>893409617</t>
        </is>
      </c>
    </row>
    <row r="467">
      <c r="A467" t="inlineStr">
        <is>
          <t>No</t>
        </is>
      </c>
      <c r="B467" t="inlineStr">
        <is>
          <t>PJ4047 .M47 1992</t>
        </is>
      </c>
      <c r="C467" t="inlineStr">
        <is>
          <t>0                      PJ 4047000M  47          1992</t>
        </is>
      </c>
      <c r="D467" t="inlineStr">
        <is>
          <t>Mesopotamian epic literature : oral or aural? / edited by Marianna E. Vogelzang and Herman L.J. Vanstiphout.</t>
        </is>
      </c>
      <c r="F467" t="inlineStr">
        <is>
          <t>No</t>
        </is>
      </c>
      <c r="G467" t="inlineStr">
        <is>
          <t>1</t>
        </is>
      </c>
      <c r="H467" t="inlineStr">
        <is>
          <t>No</t>
        </is>
      </c>
      <c r="I467" t="inlineStr">
        <is>
          <t>No</t>
        </is>
      </c>
      <c r="J467" t="inlineStr">
        <is>
          <t>0</t>
        </is>
      </c>
      <c r="L467" t="inlineStr">
        <is>
          <t>Lewiston : Edwin Mellen Press, c1992.</t>
        </is>
      </c>
      <c r="M467" t="inlineStr">
        <is>
          <t>1992</t>
        </is>
      </c>
      <c r="O467" t="inlineStr">
        <is>
          <t>eng</t>
        </is>
      </c>
      <c r="P467" t="inlineStr">
        <is>
          <t>nyu</t>
        </is>
      </c>
      <c r="R467" t="inlineStr">
        <is>
          <t xml:space="preserve">PJ </t>
        </is>
      </c>
      <c r="S467" t="n">
        <v>9</v>
      </c>
      <c r="T467" t="n">
        <v>9</v>
      </c>
      <c r="U467" t="inlineStr">
        <is>
          <t>2005-03-17</t>
        </is>
      </c>
      <c r="V467" t="inlineStr">
        <is>
          <t>2005-03-17</t>
        </is>
      </c>
      <c r="W467" t="inlineStr">
        <is>
          <t>1994-09-07</t>
        </is>
      </c>
      <c r="X467" t="inlineStr">
        <is>
          <t>1994-09-07</t>
        </is>
      </c>
      <c r="Y467" t="n">
        <v>91</v>
      </c>
      <c r="Z467" t="n">
        <v>52</v>
      </c>
      <c r="AA467" t="n">
        <v>54</v>
      </c>
      <c r="AB467" t="n">
        <v>2</v>
      </c>
      <c r="AC467" t="n">
        <v>2</v>
      </c>
      <c r="AD467" t="n">
        <v>3</v>
      </c>
      <c r="AE467" t="n">
        <v>3</v>
      </c>
      <c r="AF467" t="n">
        <v>1</v>
      </c>
      <c r="AG467" t="n">
        <v>1</v>
      </c>
      <c r="AH467" t="n">
        <v>0</v>
      </c>
      <c r="AI467" t="n">
        <v>0</v>
      </c>
      <c r="AJ467" t="n">
        <v>2</v>
      </c>
      <c r="AK467" t="n">
        <v>2</v>
      </c>
      <c r="AL467" t="n">
        <v>1</v>
      </c>
      <c r="AM467" t="n">
        <v>1</v>
      </c>
      <c r="AN467" t="n">
        <v>0</v>
      </c>
      <c r="AO467" t="n">
        <v>0</v>
      </c>
      <c r="AP467" t="inlineStr">
        <is>
          <t>No</t>
        </is>
      </c>
      <c r="AQ467" t="inlineStr">
        <is>
          <t>Yes</t>
        </is>
      </c>
      <c r="AR467">
        <f>HYPERLINK("http://catalog.hathitrust.org/Record/002561182","HathiTrust Record")</f>
        <v/>
      </c>
      <c r="AS467">
        <f>HYPERLINK("https://creighton-primo.hosted.exlibrisgroup.com/primo-explore/search?tab=default_tab&amp;search_scope=EVERYTHING&amp;vid=01CRU&amp;lang=en_US&amp;offset=0&amp;query=any,contains,991002019069702656","Catalog Record")</f>
        <v/>
      </c>
      <c r="AT467">
        <f>HYPERLINK("http://www.worldcat.org/oclc/25676105","WorldCat Record")</f>
        <v/>
      </c>
      <c r="AU467" t="inlineStr">
        <is>
          <t>836893917:eng</t>
        </is>
      </c>
      <c r="AV467" t="inlineStr">
        <is>
          <t>25676105</t>
        </is>
      </c>
      <c r="AW467" t="inlineStr">
        <is>
          <t>991002019069702656</t>
        </is>
      </c>
      <c r="AX467" t="inlineStr">
        <is>
          <t>991002019069702656</t>
        </is>
      </c>
      <c r="AY467" t="inlineStr">
        <is>
          <t>2269448680002656</t>
        </is>
      </c>
      <c r="AZ467" t="inlineStr">
        <is>
          <t>BOOK</t>
        </is>
      </c>
      <c r="BB467" t="inlineStr">
        <is>
          <t>9780773495388</t>
        </is>
      </c>
      <c r="BC467" t="inlineStr">
        <is>
          <t>32285001944965</t>
        </is>
      </c>
      <c r="BD467" t="inlineStr">
        <is>
          <t>893503927</t>
        </is>
      </c>
    </row>
    <row r="468">
      <c r="A468" t="inlineStr">
        <is>
          <t>No</t>
        </is>
      </c>
      <c r="B468" t="inlineStr">
        <is>
          <t>PJ4075 .J3 1974</t>
        </is>
      </c>
      <c r="C468" t="inlineStr">
        <is>
          <t>0                      PJ 4075000J  3           1974</t>
        </is>
      </c>
      <c r="D468" t="inlineStr">
        <is>
          <t>Sumerian economic texts from the third Ur dynasty; a catalogue and discussion of documents from various collections [by] Tom B. Jones and John W. Snyder.</t>
        </is>
      </c>
      <c r="F468" t="inlineStr">
        <is>
          <t>No</t>
        </is>
      </c>
      <c r="G468" t="inlineStr">
        <is>
          <t>1</t>
        </is>
      </c>
      <c r="H468" t="inlineStr">
        <is>
          <t>No</t>
        </is>
      </c>
      <c r="I468" t="inlineStr">
        <is>
          <t>No</t>
        </is>
      </c>
      <c r="J468" t="inlineStr">
        <is>
          <t>0</t>
        </is>
      </c>
      <c r="K468" t="inlineStr">
        <is>
          <t>Jones, Tom B. (Tom Bard), 1909-1999.</t>
        </is>
      </c>
      <c r="L468" t="inlineStr">
        <is>
          <t>Westport, Conn., Greenwood Press [1974, c1961]</t>
        </is>
      </c>
      <c r="M468" t="inlineStr">
        <is>
          <t>1974</t>
        </is>
      </c>
      <c r="O468" t="inlineStr">
        <is>
          <t>eng</t>
        </is>
      </c>
      <c r="P468" t="inlineStr">
        <is>
          <t>ctu</t>
        </is>
      </c>
      <c r="R468" t="inlineStr">
        <is>
          <t xml:space="preserve">PJ </t>
        </is>
      </c>
      <c r="S468" t="n">
        <v>5</v>
      </c>
      <c r="T468" t="n">
        <v>5</v>
      </c>
      <c r="U468" t="inlineStr">
        <is>
          <t>1999-09-14</t>
        </is>
      </c>
      <c r="V468" t="inlineStr">
        <is>
          <t>1999-09-14</t>
        </is>
      </c>
      <c r="W468" t="inlineStr">
        <is>
          <t>1997-09-11</t>
        </is>
      </c>
      <c r="X468" t="inlineStr">
        <is>
          <t>1997-09-11</t>
        </is>
      </c>
      <c r="Y468" t="n">
        <v>64</v>
      </c>
      <c r="Z468" t="n">
        <v>58</v>
      </c>
      <c r="AA468" t="n">
        <v>58</v>
      </c>
      <c r="AB468" t="n">
        <v>1</v>
      </c>
      <c r="AC468" t="n">
        <v>1</v>
      </c>
      <c r="AD468" t="n">
        <v>3</v>
      </c>
      <c r="AE468" t="n">
        <v>3</v>
      </c>
      <c r="AF468" t="n">
        <v>0</v>
      </c>
      <c r="AG468" t="n">
        <v>0</v>
      </c>
      <c r="AH468" t="n">
        <v>2</v>
      </c>
      <c r="AI468" t="n">
        <v>2</v>
      </c>
      <c r="AJ468" t="n">
        <v>3</v>
      </c>
      <c r="AK468" t="n">
        <v>3</v>
      </c>
      <c r="AL468" t="n">
        <v>0</v>
      </c>
      <c r="AM468" t="n">
        <v>0</v>
      </c>
      <c r="AN468" t="n">
        <v>0</v>
      </c>
      <c r="AO468" t="n">
        <v>0</v>
      </c>
      <c r="AP468" t="inlineStr">
        <is>
          <t>No</t>
        </is>
      </c>
      <c r="AQ468" t="inlineStr">
        <is>
          <t>No</t>
        </is>
      </c>
      <c r="AS468">
        <f>HYPERLINK("https://creighton-primo.hosted.exlibrisgroup.com/primo-explore/search?tab=default_tab&amp;search_scope=EVERYTHING&amp;vid=01CRU&amp;lang=en_US&amp;offset=0&amp;query=any,contains,991003238609702656","Catalog Record")</f>
        <v/>
      </c>
      <c r="AT468">
        <f>HYPERLINK("http://www.worldcat.org/oclc/762451","WorldCat Record")</f>
        <v/>
      </c>
      <c r="AU468" t="inlineStr">
        <is>
          <t>2762415607:eng</t>
        </is>
      </c>
      <c r="AV468" t="inlineStr">
        <is>
          <t>762451</t>
        </is>
      </c>
      <c r="AW468" t="inlineStr">
        <is>
          <t>991003238609702656</t>
        </is>
      </c>
      <c r="AX468" t="inlineStr">
        <is>
          <t>991003238609702656</t>
        </is>
      </c>
      <c r="AY468" t="inlineStr">
        <is>
          <t>2265190990002656</t>
        </is>
      </c>
      <c r="AZ468" t="inlineStr">
        <is>
          <t>BOOK</t>
        </is>
      </c>
      <c r="BB468" t="inlineStr">
        <is>
          <t>9780837173115</t>
        </is>
      </c>
      <c r="BC468" t="inlineStr">
        <is>
          <t>32285003222550</t>
        </is>
      </c>
      <c r="BD468" t="inlineStr">
        <is>
          <t>893774542</t>
        </is>
      </c>
    </row>
    <row r="469">
      <c r="A469" t="inlineStr">
        <is>
          <t>No</t>
        </is>
      </c>
      <c r="B469" t="inlineStr">
        <is>
          <t>PJ4075 .N5713 1993</t>
        </is>
      </c>
      <c r="C469" t="inlineStr">
        <is>
          <t>0                      PJ 4075000N  5713        1993</t>
        </is>
      </c>
      <c r="D469" t="inlineStr">
        <is>
          <t>Archaic bookkeeping : early writing and techniques of economic administration in the ancient Near East / Hans J. Nissen, Peter Damerow, Robert K. Englund ; translated by Paul Larsen.</t>
        </is>
      </c>
      <c r="F469" t="inlineStr">
        <is>
          <t>No</t>
        </is>
      </c>
      <c r="G469" t="inlineStr">
        <is>
          <t>1</t>
        </is>
      </c>
      <c r="H469" t="inlineStr">
        <is>
          <t>No</t>
        </is>
      </c>
      <c r="I469" t="inlineStr">
        <is>
          <t>No</t>
        </is>
      </c>
      <c r="J469" t="inlineStr">
        <is>
          <t>0</t>
        </is>
      </c>
      <c r="K469" t="inlineStr">
        <is>
          <t>Nissen, Hans Jörg.</t>
        </is>
      </c>
      <c r="L469" t="inlineStr">
        <is>
          <t>Chicago, Ill. : University of Chicago Press, c1993.</t>
        </is>
      </c>
      <c r="M469" t="inlineStr">
        <is>
          <t>1993</t>
        </is>
      </c>
      <c r="O469" t="inlineStr">
        <is>
          <t>eng</t>
        </is>
      </c>
      <c r="P469" t="inlineStr">
        <is>
          <t>ilu</t>
        </is>
      </c>
      <c r="R469" t="inlineStr">
        <is>
          <t xml:space="preserve">PJ </t>
        </is>
      </c>
      <c r="S469" t="n">
        <v>2</v>
      </c>
      <c r="T469" t="n">
        <v>2</v>
      </c>
      <c r="U469" t="inlineStr">
        <is>
          <t>1998-08-30</t>
        </is>
      </c>
      <c r="V469" t="inlineStr">
        <is>
          <t>1998-08-30</t>
        </is>
      </c>
      <c r="W469" t="inlineStr">
        <is>
          <t>1994-04-13</t>
        </is>
      </c>
      <c r="X469" t="inlineStr">
        <is>
          <t>1994-04-13</t>
        </is>
      </c>
      <c r="Y469" t="n">
        <v>341</v>
      </c>
      <c r="Z469" t="n">
        <v>258</v>
      </c>
      <c r="AA469" t="n">
        <v>260</v>
      </c>
      <c r="AB469" t="n">
        <v>1</v>
      </c>
      <c r="AC469" t="n">
        <v>1</v>
      </c>
      <c r="AD469" t="n">
        <v>12</v>
      </c>
      <c r="AE469" t="n">
        <v>12</v>
      </c>
      <c r="AF469" t="n">
        <v>2</v>
      </c>
      <c r="AG469" t="n">
        <v>2</v>
      </c>
      <c r="AH469" t="n">
        <v>4</v>
      </c>
      <c r="AI469" t="n">
        <v>4</v>
      </c>
      <c r="AJ469" t="n">
        <v>10</v>
      </c>
      <c r="AK469" t="n">
        <v>10</v>
      </c>
      <c r="AL469" t="n">
        <v>0</v>
      </c>
      <c r="AM469" t="n">
        <v>0</v>
      </c>
      <c r="AN469" t="n">
        <v>0</v>
      </c>
      <c r="AO469" t="n">
        <v>0</v>
      </c>
      <c r="AP469" t="inlineStr">
        <is>
          <t>No</t>
        </is>
      </c>
      <c r="AQ469" t="inlineStr">
        <is>
          <t>No</t>
        </is>
      </c>
      <c r="AS469">
        <f>HYPERLINK("https://creighton-primo.hosted.exlibrisgroup.com/primo-explore/search?tab=default_tab&amp;search_scope=EVERYTHING&amp;vid=01CRU&amp;lang=en_US&amp;offset=0&amp;query=any,contains,991005416679702656","Catalog Record")</f>
        <v/>
      </c>
      <c r="AT469">
        <f>HYPERLINK("http://www.worldcat.org/oclc/27812952","WorldCat Record")</f>
        <v/>
      </c>
      <c r="AU469" t="inlineStr">
        <is>
          <t>328888:eng</t>
        </is>
      </c>
      <c r="AV469" t="inlineStr">
        <is>
          <t>27812952</t>
        </is>
      </c>
      <c r="AW469" t="inlineStr">
        <is>
          <t>991005416679702656</t>
        </is>
      </c>
      <c r="AX469" t="inlineStr">
        <is>
          <t>991005416679702656</t>
        </is>
      </c>
      <c r="AY469" t="inlineStr">
        <is>
          <t>2258133900002656</t>
        </is>
      </c>
      <c r="AZ469" t="inlineStr">
        <is>
          <t>BOOK</t>
        </is>
      </c>
      <c r="BB469" t="inlineStr">
        <is>
          <t>9780226586595</t>
        </is>
      </c>
      <c r="BC469" t="inlineStr">
        <is>
          <t>32285001876100</t>
        </is>
      </c>
      <c r="BD469" t="inlineStr">
        <is>
          <t>893595018</t>
        </is>
      </c>
    </row>
    <row r="470">
      <c r="A470" t="inlineStr">
        <is>
          <t>No</t>
        </is>
      </c>
      <c r="B470" t="inlineStr">
        <is>
          <t>PJ409 .M38 1994</t>
        </is>
      </c>
      <c r="C470" t="inlineStr">
        <is>
          <t>0                      PJ 0409000M  38          1994</t>
        </is>
      </c>
      <c r="D470" t="inlineStr">
        <is>
          <t>Masterworks of Asian literature in comparative perspective : a guide for teaching / edited by Barbara Stoler Miller.</t>
        </is>
      </c>
      <c r="F470" t="inlineStr">
        <is>
          <t>No</t>
        </is>
      </c>
      <c r="G470" t="inlineStr">
        <is>
          <t>1</t>
        </is>
      </c>
      <c r="H470" t="inlineStr">
        <is>
          <t>No</t>
        </is>
      </c>
      <c r="I470" t="inlineStr">
        <is>
          <t>No</t>
        </is>
      </c>
      <c r="J470" t="inlineStr">
        <is>
          <t>0</t>
        </is>
      </c>
      <c r="L470" t="inlineStr">
        <is>
          <t>Armonk, N.Y. : M.E. Sharpe, c1994.</t>
        </is>
      </c>
      <c r="M470" t="inlineStr">
        <is>
          <t>1994</t>
        </is>
      </c>
      <c r="O470" t="inlineStr">
        <is>
          <t>eng</t>
        </is>
      </c>
      <c r="P470" t="inlineStr">
        <is>
          <t>nyu</t>
        </is>
      </c>
      <c r="Q470" t="inlineStr">
        <is>
          <t>Columbia project on Asia in the core curriculum</t>
        </is>
      </c>
      <c r="R470" t="inlineStr">
        <is>
          <t xml:space="preserve">PJ </t>
        </is>
      </c>
      <c r="S470" t="n">
        <v>6</v>
      </c>
      <c r="T470" t="n">
        <v>6</v>
      </c>
      <c r="U470" t="inlineStr">
        <is>
          <t>2005-03-31</t>
        </is>
      </c>
      <c r="V470" t="inlineStr">
        <is>
          <t>2005-03-31</t>
        </is>
      </c>
      <c r="W470" t="inlineStr">
        <is>
          <t>1996-03-19</t>
        </is>
      </c>
      <c r="X470" t="inlineStr">
        <is>
          <t>1996-03-19</t>
        </is>
      </c>
      <c r="Y470" t="n">
        <v>589</v>
      </c>
      <c r="Z470" t="n">
        <v>509</v>
      </c>
      <c r="AA470" t="n">
        <v>1132</v>
      </c>
      <c r="AB470" t="n">
        <v>5</v>
      </c>
      <c r="AC470" t="n">
        <v>8</v>
      </c>
      <c r="AD470" t="n">
        <v>29</v>
      </c>
      <c r="AE470" t="n">
        <v>37</v>
      </c>
      <c r="AF470" t="n">
        <v>14</v>
      </c>
      <c r="AG470" t="n">
        <v>17</v>
      </c>
      <c r="AH470" t="n">
        <v>5</v>
      </c>
      <c r="AI470" t="n">
        <v>7</v>
      </c>
      <c r="AJ470" t="n">
        <v>13</v>
      </c>
      <c r="AK470" t="n">
        <v>15</v>
      </c>
      <c r="AL470" t="n">
        <v>4</v>
      </c>
      <c r="AM470" t="n">
        <v>7</v>
      </c>
      <c r="AN470" t="n">
        <v>0</v>
      </c>
      <c r="AO470" t="n">
        <v>0</v>
      </c>
      <c r="AP470" t="inlineStr">
        <is>
          <t>No</t>
        </is>
      </c>
      <c r="AQ470" t="inlineStr">
        <is>
          <t>Yes</t>
        </is>
      </c>
      <c r="AR470">
        <f>HYPERLINK("http://catalog.hathitrust.org/Record/002811835","HathiTrust Record")</f>
        <v/>
      </c>
      <c r="AS470">
        <f>HYPERLINK("https://creighton-primo.hosted.exlibrisgroup.com/primo-explore/search?tab=default_tab&amp;search_scope=EVERYTHING&amp;vid=01CRU&amp;lang=en_US&amp;offset=0&amp;query=any,contains,991002208679702656","Catalog Record")</f>
        <v/>
      </c>
      <c r="AT470">
        <f>HYPERLINK("http://www.worldcat.org/oclc/28414185","WorldCat Record")</f>
        <v/>
      </c>
      <c r="AU470" t="inlineStr">
        <is>
          <t>796762544:eng</t>
        </is>
      </c>
      <c r="AV470" t="inlineStr">
        <is>
          <t>28414185</t>
        </is>
      </c>
      <c r="AW470" t="inlineStr">
        <is>
          <t>991002208679702656</t>
        </is>
      </c>
      <c r="AX470" t="inlineStr">
        <is>
          <t>991002208679702656</t>
        </is>
      </c>
      <c r="AY470" t="inlineStr">
        <is>
          <t>2264543550002656</t>
        </is>
      </c>
      <c r="AZ470" t="inlineStr">
        <is>
          <t>BOOK</t>
        </is>
      </c>
      <c r="BB470" t="inlineStr">
        <is>
          <t>9781563242571</t>
        </is>
      </c>
      <c r="BC470" t="inlineStr">
        <is>
          <t>32285002144623</t>
        </is>
      </c>
      <c r="BD470" t="inlineStr">
        <is>
          <t>893504131</t>
        </is>
      </c>
    </row>
    <row r="471">
      <c r="A471" t="inlineStr">
        <is>
          <t>No</t>
        </is>
      </c>
      <c r="B471" t="inlineStr">
        <is>
          <t>PJ409 .S3 1981</t>
        </is>
      </c>
      <c r="C471" t="inlineStr">
        <is>
          <t>0                      PJ 0409000S  3           1981</t>
        </is>
      </c>
      <c r="D471" t="inlineStr">
        <is>
          <t>Sacred books of the East : comprising the Vedic hymns, Zend-Avesta, Dhammapada, Upanishads, the Koran, and the life of Buddha / with critical and biographical sketches by Epiphanius Wilson.</t>
        </is>
      </c>
      <c r="F471" t="inlineStr">
        <is>
          <t>No</t>
        </is>
      </c>
      <c r="G471" t="inlineStr">
        <is>
          <t>1</t>
        </is>
      </c>
      <c r="H471" t="inlineStr">
        <is>
          <t>No</t>
        </is>
      </c>
      <c r="I471" t="inlineStr">
        <is>
          <t>No</t>
        </is>
      </c>
      <c r="J471" t="inlineStr">
        <is>
          <t>0</t>
        </is>
      </c>
      <c r="L471" t="inlineStr">
        <is>
          <t>Albuquerque : Sun Books, 1981.</t>
        </is>
      </c>
      <c r="M471" t="inlineStr">
        <is>
          <t>1981</t>
        </is>
      </c>
      <c r="N471" t="inlineStr">
        <is>
          <t>Rev. ed.</t>
        </is>
      </c>
      <c r="O471" t="inlineStr">
        <is>
          <t>eng</t>
        </is>
      </c>
      <c r="P471" t="inlineStr">
        <is>
          <t>nmu</t>
        </is>
      </c>
      <c r="R471" t="inlineStr">
        <is>
          <t xml:space="preserve">PJ </t>
        </is>
      </c>
      <c r="S471" t="n">
        <v>10</v>
      </c>
      <c r="T471" t="n">
        <v>10</v>
      </c>
      <c r="U471" t="inlineStr">
        <is>
          <t>2008-03-14</t>
        </is>
      </c>
      <c r="V471" t="inlineStr">
        <is>
          <t>2008-03-14</t>
        </is>
      </c>
      <c r="W471" t="inlineStr">
        <is>
          <t>1993-04-28</t>
        </is>
      </c>
      <c r="X471" t="inlineStr">
        <is>
          <t>1993-04-28</t>
        </is>
      </c>
      <c r="Y471" t="n">
        <v>6</v>
      </c>
      <c r="Z471" t="n">
        <v>6</v>
      </c>
      <c r="AA471" t="n">
        <v>61</v>
      </c>
      <c r="AB471" t="n">
        <v>1</v>
      </c>
      <c r="AC471" t="n">
        <v>2</v>
      </c>
      <c r="AD471" t="n">
        <v>0</v>
      </c>
      <c r="AE471" t="n">
        <v>2</v>
      </c>
      <c r="AF471" t="n">
        <v>0</v>
      </c>
      <c r="AG471" t="n">
        <v>0</v>
      </c>
      <c r="AH471" t="n">
        <v>0</v>
      </c>
      <c r="AI471" t="n">
        <v>1</v>
      </c>
      <c r="AJ471" t="n">
        <v>0</v>
      </c>
      <c r="AK471" t="n">
        <v>0</v>
      </c>
      <c r="AL471" t="n">
        <v>0</v>
      </c>
      <c r="AM471" t="n">
        <v>1</v>
      </c>
      <c r="AN471" t="n">
        <v>0</v>
      </c>
      <c r="AO471" t="n">
        <v>0</v>
      </c>
      <c r="AP471" t="inlineStr">
        <is>
          <t>No</t>
        </is>
      </c>
      <c r="AQ471" t="inlineStr">
        <is>
          <t>No</t>
        </is>
      </c>
      <c r="AS471">
        <f>HYPERLINK("https://creighton-primo.hosted.exlibrisgroup.com/primo-explore/search?tab=default_tab&amp;search_scope=EVERYTHING&amp;vid=01CRU&amp;lang=en_US&amp;offset=0&amp;query=any,contains,991000466379702656","Catalog Record")</f>
        <v/>
      </c>
      <c r="AT471">
        <f>HYPERLINK("http://www.worldcat.org/oclc/10963830","WorldCat Record")</f>
        <v/>
      </c>
      <c r="AU471" t="inlineStr">
        <is>
          <t>5576187194:eng</t>
        </is>
      </c>
      <c r="AV471" t="inlineStr">
        <is>
          <t>10963830</t>
        </is>
      </c>
      <c r="AW471" t="inlineStr">
        <is>
          <t>991000466379702656</t>
        </is>
      </c>
      <c r="AX471" t="inlineStr">
        <is>
          <t>991000466379702656</t>
        </is>
      </c>
      <c r="AY471" t="inlineStr">
        <is>
          <t>2259681100002656</t>
        </is>
      </c>
      <c r="AZ471" t="inlineStr">
        <is>
          <t>BOOK</t>
        </is>
      </c>
      <c r="BB471" t="inlineStr">
        <is>
          <t>9780895400994</t>
        </is>
      </c>
      <c r="BC471" t="inlineStr">
        <is>
          <t>32285001670222</t>
        </is>
      </c>
      <c r="BD471" t="inlineStr">
        <is>
          <t>893702120</t>
        </is>
      </c>
    </row>
    <row r="472">
      <c r="A472" t="inlineStr">
        <is>
          <t>No</t>
        </is>
      </c>
      <c r="B472" t="inlineStr">
        <is>
          <t>PJ409 .S55</t>
        </is>
      </c>
      <c r="C472" t="inlineStr">
        <is>
          <t>0                      PJ 0409000S  55</t>
        </is>
      </c>
      <c r="D472" t="inlineStr">
        <is>
          <t>The Mentor book of modern Asian literature from the Khyber Pass to Fuji, edited by Dorothy Blair Shimer. With an introd., critical commentary, and biographical notes.</t>
        </is>
      </c>
      <c r="F472" t="inlineStr">
        <is>
          <t>No</t>
        </is>
      </c>
      <c r="G472" t="inlineStr">
        <is>
          <t>1</t>
        </is>
      </c>
      <c r="H472" t="inlineStr">
        <is>
          <t>No</t>
        </is>
      </c>
      <c r="I472" t="inlineStr">
        <is>
          <t>No</t>
        </is>
      </c>
      <c r="J472" t="inlineStr">
        <is>
          <t>0</t>
        </is>
      </c>
      <c r="K472" t="inlineStr">
        <is>
          <t>Shimer, Dorothy Blair, compiler.</t>
        </is>
      </c>
      <c r="L472" t="inlineStr">
        <is>
          <t>New York, New American Library [1969]</t>
        </is>
      </c>
      <c r="M472" t="inlineStr">
        <is>
          <t>1969</t>
        </is>
      </c>
      <c r="O472" t="inlineStr">
        <is>
          <t>eng</t>
        </is>
      </c>
      <c r="P472" t="inlineStr">
        <is>
          <t>nyu</t>
        </is>
      </c>
      <c r="Q472" t="inlineStr">
        <is>
          <t>A Mentor book, 961</t>
        </is>
      </c>
      <c r="R472" t="inlineStr">
        <is>
          <t xml:space="preserve">PJ </t>
        </is>
      </c>
      <c r="S472" t="n">
        <v>1</v>
      </c>
      <c r="T472" t="n">
        <v>1</v>
      </c>
      <c r="U472" t="inlineStr">
        <is>
          <t>2009-05-08</t>
        </is>
      </c>
      <c r="V472" t="inlineStr">
        <is>
          <t>2009-05-08</t>
        </is>
      </c>
      <c r="W472" t="inlineStr">
        <is>
          <t>1997-09-11</t>
        </is>
      </c>
      <c r="X472" t="inlineStr">
        <is>
          <t>1997-09-11</t>
        </is>
      </c>
      <c r="Y472" t="n">
        <v>291</v>
      </c>
      <c r="Z472" t="n">
        <v>240</v>
      </c>
      <c r="AA472" t="n">
        <v>245</v>
      </c>
      <c r="AB472" t="n">
        <v>1</v>
      </c>
      <c r="AC472" t="n">
        <v>1</v>
      </c>
      <c r="AD472" t="n">
        <v>3</v>
      </c>
      <c r="AE472" t="n">
        <v>3</v>
      </c>
      <c r="AF472" t="n">
        <v>0</v>
      </c>
      <c r="AG472" t="n">
        <v>0</v>
      </c>
      <c r="AH472" t="n">
        <v>0</v>
      </c>
      <c r="AI472" t="n">
        <v>0</v>
      </c>
      <c r="AJ472" t="n">
        <v>3</v>
      </c>
      <c r="AK472" t="n">
        <v>3</v>
      </c>
      <c r="AL472" t="n">
        <v>0</v>
      </c>
      <c r="AM472" t="n">
        <v>0</v>
      </c>
      <c r="AN472" t="n">
        <v>0</v>
      </c>
      <c r="AO472" t="n">
        <v>0</v>
      </c>
      <c r="AP472" t="inlineStr">
        <is>
          <t>No</t>
        </is>
      </c>
      <c r="AQ472" t="inlineStr">
        <is>
          <t>No</t>
        </is>
      </c>
      <c r="AS472">
        <f>HYPERLINK("https://creighton-primo.hosted.exlibrisgroup.com/primo-explore/search?tab=default_tab&amp;search_scope=EVERYTHING&amp;vid=01CRU&amp;lang=en_US&amp;offset=0&amp;query=any,contains,991000371229702656","Catalog Record")</f>
        <v/>
      </c>
      <c r="AT472">
        <f>HYPERLINK("http://www.worldcat.org/oclc/71430","WorldCat Record")</f>
        <v/>
      </c>
      <c r="AU472" t="inlineStr">
        <is>
          <t>1241107:eng</t>
        </is>
      </c>
      <c r="AV472" t="inlineStr">
        <is>
          <t>71430</t>
        </is>
      </c>
      <c r="AW472" t="inlineStr">
        <is>
          <t>991000371229702656</t>
        </is>
      </c>
      <c r="AX472" t="inlineStr">
        <is>
          <t>991000371229702656</t>
        </is>
      </c>
      <c r="AY472" t="inlineStr">
        <is>
          <t>2270877090002656</t>
        </is>
      </c>
      <c r="AZ472" t="inlineStr">
        <is>
          <t>BOOK</t>
        </is>
      </c>
      <c r="BC472" t="inlineStr">
        <is>
          <t>32285003222410</t>
        </is>
      </c>
      <c r="BD472" t="inlineStr">
        <is>
          <t>893902974</t>
        </is>
      </c>
    </row>
    <row r="473">
      <c r="A473" t="inlineStr">
        <is>
          <t>No</t>
        </is>
      </c>
      <c r="B473" t="inlineStr">
        <is>
          <t>PJ409 .Y6</t>
        </is>
      </c>
      <c r="C473" t="inlineStr">
        <is>
          <t>0                      PJ 0409000Y  6</t>
        </is>
      </c>
      <c r="D473" t="inlineStr">
        <is>
          <t>A Treasury of Asian literature / Edited with an introduction and commentaries by John D. Yohannan.</t>
        </is>
      </c>
      <c r="F473" t="inlineStr">
        <is>
          <t>No</t>
        </is>
      </c>
      <c r="G473" t="inlineStr">
        <is>
          <t>1</t>
        </is>
      </c>
      <c r="H473" t="inlineStr">
        <is>
          <t>No</t>
        </is>
      </c>
      <c r="I473" t="inlineStr">
        <is>
          <t>Yes</t>
        </is>
      </c>
      <c r="J473" t="inlineStr">
        <is>
          <t>0</t>
        </is>
      </c>
      <c r="K473" t="inlineStr">
        <is>
          <t>Yohannan, John D.</t>
        </is>
      </c>
      <c r="L473" t="inlineStr">
        <is>
          <t>New York : New American Library, c1956.</t>
        </is>
      </c>
      <c r="M473" t="inlineStr">
        <is>
          <t>1956</t>
        </is>
      </c>
      <c r="O473" t="inlineStr">
        <is>
          <t>eng</t>
        </is>
      </c>
      <c r="P473" t="inlineStr">
        <is>
          <t>nyu</t>
        </is>
      </c>
      <c r="R473" t="inlineStr">
        <is>
          <t xml:space="preserve">PJ </t>
        </is>
      </c>
      <c r="S473" t="n">
        <v>1</v>
      </c>
      <c r="T473" t="n">
        <v>1</v>
      </c>
      <c r="U473" t="inlineStr">
        <is>
          <t>2006-10-23</t>
        </is>
      </c>
      <c r="V473" t="inlineStr">
        <is>
          <t>2006-10-23</t>
        </is>
      </c>
      <c r="W473" t="inlineStr">
        <is>
          <t>1992-04-01</t>
        </is>
      </c>
      <c r="X473" t="inlineStr">
        <is>
          <t>1992-04-01</t>
        </is>
      </c>
      <c r="Y473" t="n">
        <v>218</v>
      </c>
      <c r="Z473" t="n">
        <v>210</v>
      </c>
      <c r="AA473" t="n">
        <v>1208</v>
      </c>
      <c r="AB473" t="n">
        <v>3</v>
      </c>
      <c r="AC473" t="n">
        <v>10</v>
      </c>
      <c r="AD473" t="n">
        <v>10</v>
      </c>
      <c r="AE473" t="n">
        <v>36</v>
      </c>
      <c r="AF473" t="n">
        <v>2</v>
      </c>
      <c r="AG473" t="n">
        <v>13</v>
      </c>
      <c r="AH473" t="n">
        <v>5</v>
      </c>
      <c r="AI473" t="n">
        <v>8</v>
      </c>
      <c r="AJ473" t="n">
        <v>5</v>
      </c>
      <c r="AK473" t="n">
        <v>16</v>
      </c>
      <c r="AL473" t="n">
        <v>2</v>
      </c>
      <c r="AM473" t="n">
        <v>7</v>
      </c>
      <c r="AN473" t="n">
        <v>0</v>
      </c>
      <c r="AO473" t="n">
        <v>0</v>
      </c>
      <c r="AP473" t="inlineStr">
        <is>
          <t>No</t>
        </is>
      </c>
      <c r="AQ473" t="inlineStr">
        <is>
          <t>No</t>
        </is>
      </c>
      <c r="AS473">
        <f>HYPERLINK("https://creighton-primo.hosted.exlibrisgroup.com/primo-explore/search?tab=default_tab&amp;search_scope=EVERYTHING&amp;vid=01CRU&amp;lang=en_US&amp;offset=0&amp;query=any,contains,991005042209702656","Catalog Record")</f>
        <v/>
      </c>
      <c r="AT473">
        <f>HYPERLINK("http://www.worldcat.org/oclc/15300443","WorldCat Record")</f>
        <v/>
      </c>
      <c r="AU473" t="inlineStr">
        <is>
          <t>1427546:eng</t>
        </is>
      </c>
      <c r="AV473" t="inlineStr">
        <is>
          <t>15300443</t>
        </is>
      </c>
      <c r="AW473" t="inlineStr">
        <is>
          <t>991005042209702656</t>
        </is>
      </c>
      <c r="AX473" t="inlineStr">
        <is>
          <t>991005042209702656</t>
        </is>
      </c>
      <c r="AY473" t="inlineStr">
        <is>
          <t>2260437450002656</t>
        </is>
      </c>
      <c r="AZ473" t="inlineStr">
        <is>
          <t>BOOK</t>
        </is>
      </c>
      <c r="BB473" t="inlineStr">
        <is>
          <t>9780451617286</t>
        </is>
      </c>
      <c r="BC473" t="inlineStr">
        <is>
          <t>32285001030971</t>
        </is>
      </c>
      <c r="BD473" t="inlineStr">
        <is>
          <t>893319934</t>
        </is>
      </c>
    </row>
    <row r="474">
      <c r="A474" t="inlineStr">
        <is>
          <t>No</t>
        </is>
      </c>
      <c r="B474" t="inlineStr">
        <is>
          <t>PJ4109 .D488 1995</t>
        </is>
      </c>
      <c r="C474" t="inlineStr">
        <is>
          <t>0                      PJ 4109000D  488         1995</t>
        </is>
      </c>
      <c r="D474" t="inlineStr">
        <is>
          <t>New epigraphic evidence from the biblical period / Robert Deutsch, Michael Heltzer.</t>
        </is>
      </c>
      <c r="F474" t="inlineStr">
        <is>
          <t>No</t>
        </is>
      </c>
      <c r="G474" t="inlineStr">
        <is>
          <t>1</t>
        </is>
      </c>
      <c r="H474" t="inlineStr">
        <is>
          <t>No</t>
        </is>
      </c>
      <c r="I474" t="inlineStr">
        <is>
          <t>No</t>
        </is>
      </c>
      <c r="J474" t="inlineStr">
        <is>
          <t>0</t>
        </is>
      </c>
      <c r="K474" t="inlineStr">
        <is>
          <t>Deutsch, Robert.</t>
        </is>
      </c>
      <c r="L474" t="inlineStr">
        <is>
          <t>Tel Aviv-Jaffa, Israel : Archaeological Center Publication, 1995.</t>
        </is>
      </c>
      <c r="M474" t="inlineStr">
        <is>
          <t>1995</t>
        </is>
      </c>
      <c r="O474" t="inlineStr">
        <is>
          <t>eng</t>
        </is>
      </c>
      <c r="P474" t="inlineStr">
        <is>
          <t xml:space="preserve">is </t>
        </is>
      </c>
      <c r="R474" t="inlineStr">
        <is>
          <t xml:space="preserve">PJ </t>
        </is>
      </c>
      <c r="S474" t="n">
        <v>0</v>
      </c>
      <c r="T474" t="n">
        <v>0</v>
      </c>
      <c r="U474" t="inlineStr">
        <is>
          <t>2002-10-04</t>
        </is>
      </c>
      <c r="V474" t="inlineStr">
        <is>
          <t>2002-10-04</t>
        </is>
      </c>
      <c r="W474" t="inlineStr">
        <is>
          <t>1997-11-04</t>
        </is>
      </c>
      <c r="X474" t="inlineStr">
        <is>
          <t>1997-11-04</t>
        </is>
      </c>
      <c r="Y474" t="n">
        <v>92</v>
      </c>
      <c r="Z474" t="n">
        <v>58</v>
      </c>
      <c r="AA474" t="n">
        <v>60</v>
      </c>
      <c r="AB474" t="n">
        <v>1</v>
      </c>
      <c r="AC474" t="n">
        <v>1</v>
      </c>
      <c r="AD474" t="n">
        <v>4</v>
      </c>
      <c r="AE474" t="n">
        <v>4</v>
      </c>
      <c r="AF474" t="n">
        <v>2</v>
      </c>
      <c r="AG474" t="n">
        <v>2</v>
      </c>
      <c r="AH474" t="n">
        <v>1</v>
      </c>
      <c r="AI474" t="n">
        <v>1</v>
      </c>
      <c r="AJ474" t="n">
        <v>2</v>
      </c>
      <c r="AK474" t="n">
        <v>2</v>
      </c>
      <c r="AL474" t="n">
        <v>0</v>
      </c>
      <c r="AM474" t="n">
        <v>0</v>
      </c>
      <c r="AN474" t="n">
        <v>0</v>
      </c>
      <c r="AO474" t="n">
        <v>0</v>
      </c>
      <c r="AP474" t="inlineStr">
        <is>
          <t>No</t>
        </is>
      </c>
      <c r="AQ474" t="inlineStr">
        <is>
          <t>Yes</t>
        </is>
      </c>
      <c r="AR474">
        <f>HYPERLINK("http://catalog.hathitrust.org/Record/003081183","HathiTrust Record")</f>
        <v/>
      </c>
      <c r="AS474">
        <f>HYPERLINK("https://creighton-primo.hosted.exlibrisgroup.com/primo-explore/search?tab=default_tab&amp;search_scope=EVERYTHING&amp;vid=01CRU&amp;lang=en_US&amp;offset=0&amp;query=any,contains,991002627129702656","Catalog Record")</f>
        <v/>
      </c>
      <c r="AT474">
        <f>HYPERLINK("http://www.worldcat.org/oclc/34434331","WorldCat Record")</f>
        <v/>
      </c>
      <c r="AU474" t="inlineStr">
        <is>
          <t>40108906:eng</t>
        </is>
      </c>
      <c r="AV474" t="inlineStr">
        <is>
          <t>34434331</t>
        </is>
      </c>
      <c r="AW474" t="inlineStr">
        <is>
          <t>991002627129702656</t>
        </is>
      </c>
      <c r="AX474" t="inlineStr">
        <is>
          <t>991002627129702656</t>
        </is>
      </c>
      <c r="AY474" t="inlineStr">
        <is>
          <t>2268648660002656</t>
        </is>
      </c>
      <c r="AZ474" t="inlineStr">
        <is>
          <t>BOOK</t>
        </is>
      </c>
      <c r="BB474" t="inlineStr">
        <is>
          <t>9789652226129</t>
        </is>
      </c>
      <c r="BC474" t="inlineStr">
        <is>
          <t>32285003275533</t>
        </is>
      </c>
      <c r="BD474" t="inlineStr">
        <is>
          <t>893867465</t>
        </is>
      </c>
    </row>
    <row r="475">
      <c r="A475" t="inlineStr">
        <is>
          <t>No</t>
        </is>
      </c>
      <c r="B475" t="inlineStr">
        <is>
          <t>PJ416 .W4</t>
        </is>
      </c>
      <c r="C475" t="inlineStr">
        <is>
          <t>0                      PJ 0416000W  4</t>
        </is>
      </c>
      <c r="D475" t="inlineStr">
        <is>
          <t>Ancient poetry from China, Japan &amp; India / rendered into English verse by Henry W. Wells.</t>
        </is>
      </c>
      <c r="F475" t="inlineStr">
        <is>
          <t>No</t>
        </is>
      </c>
      <c r="G475" t="inlineStr">
        <is>
          <t>1</t>
        </is>
      </c>
      <c r="H475" t="inlineStr">
        <is>
          <t>No</t>
        </is>
      </c>
      <c r="I475" t="inlineStr">
        <is>
          <t>No</t>
        </is>
      </c>
      <c r="J475" t="inlineStr">
        <is>
          <t>0</t>
        </is>
      </c>
      <c r="K475" t="inlineStr">
        <is>
          <t>Wells, Henry W., 1895-1978, compiler.</t>
        </is>
      </c>
      <c r="L475" t="inlineStr">
        <is>
          <t>Columbia : University of South Carolina Press, [1968]</t>
        </is>
      </c>
      <c r="M475" t="inlineStr">
        <is>
          <t>1968</t>
        </is>
      </c>
      <c r="N475" t="inlineStr">
        <is>
          <t>[1st ed.]</t>
        </is>
      </c>
      <c r="O475" t="inlineStr">
        <is>
          <t>eng</t>
        </is>
      </c>
      <c r="P475" t="inlineStr">
        <is>
          <t>scu</t>
        </is>
      </c>
      <c r="R475" t="inlineStr">
        <is>
          <t xml:space="preserve">PJ </t>
        </is>
      </c>
      <c r="S475" t="n">
        <v>8</v>
      </c>
      <c r="T475" t="n">
        <v>8</v>
      </c>
      <c r="U475" t="inlineStr">
        <is>
          <t>2005-03-31</t>
        </is>
      </c>
      <c r="V475" t="inlineStr">
        <is>
          <t>2005-03-31</t>
        </is>
      </c>
      <c r="W475" t="inlineStr">
        <is>
          <t>1992-04-01</t>
        </is>
      </c>
      <c r="X475" t="inlineStr">
        <is>
          <t>1992-04-01</t>
        </is>
      </c>
      <c r="Y475" t="n">
        <v>590</v>
      </c>
      <c r="Z475" t="n">
        <v>543</v>
      </c>
      <c r="AA475" t="n">
        <v>550</v>
      </c>
      <c r="AB475" t="n">
        <v>2</v>
      </c>
      <c r="AC475" t="n">
        <v>2</v>
      </c>
      <c r="AD475" t="n">
        <v>15</v>
      </c>
      <c r="AE475" t="n">
        <v>15</v>
      </c>
      <c r="AF475" t="n">
        <v>6</v>
      </c>
      <c r="AG475" t="n">
        <v>6</v>
      </c>
      <c r="AH475" t="n">
        <v>3</v>
      </c>
      <c r="AI475" t="n">
        <v>3</v>
      </c>
      <c r="AJ475" t="n">
        <v>9</v>
      </c>
      <c r="AK475" t="n">
        <v>9</v>
      </c>
      <c r="AL475" t="n">
        <v>1</v>
      </c>
      <c r="AM475" t="n">
        <v>1</v>
      </c>
      <c r="AN475" t="n">
        <v>0</v>
      </c>
      <c r="AO475" t="n">
        <v>0</v>
      </c>
      <c r="AP475" t="inlineStr">
        <is>
          <t>No</t>
        </is>
      </c>
      <c r="AQ475" t="inlineStr">
        <is>
          <t>Yes</t>
        </is>
      </c>
      <c r="AR475">
        <f>HYPERLINK("http://catalog.hathitrust.org/Record/000981792","HathiTrust Record")</f>
        <v/>
      </c>
      <c r="AS475">
        <f>HYPERLINK("https://creighton-primo.hosted.exlibrisgroup.com/primo-explore/search?tab=default_tab&amp;search_scope=EVERYTHING&amp;vid=01CRU&amp;lang=en_US&amp;offset=0&amp;query=any,contains,991002767789702656","Catalog Record")</f>
        <v/>
      </c>
      <c r="AT475">
        <f>HYPERLINK("http://www.worldcat.org/oclc/435665","WorldCat Record")</f>
        <v/>
      </c>
      <c r="AU475" t="inlineStr">
        <is>
          <t>1553537:eng</t>
        </is>
      </c>
      <c r="AV475" t="inlineStr">
        <is>
          <t>435665</t>
        </is>
      </c>
      <c r="AW475" t="inlineStr">
        <is>
          <t>991002767789702656</t>
        </is>
      </c>
      <c r="AX475" t="inlineStr">
        <is>
          <t>991002767789702656</t>
        </is>
      </c>
      <c r="AY475" t="inlineStr">
        <is>
          <t>2269250900002656</t>
        </is>
      </c>
      <c r="AZ475" t="inlineStr">
        <is>
          <t>BOOK</t>
        </is>
      </c>
      <c r="BC475" t="inlineStr">
        <is>
          <t>32285001030963</t>
        </is>
      </c>
      <c r="BD475" t="inlineStr">
        <is>
          <t>893504798</t>
        </is>
      </c>
    </row>
    <row r="476">
      <c r="A476" t="inlineStr">
        <is>
          <t>No</t>
        </is>
      </c>
      <c r="B476" t="inlineStr">
        <is>
          <t>PJ418 .M87 2001</t>
        </is>
      </c>
      <c r="C476" t="inlineStr">
        <is>
          <t>0                      PJ 0418000M  87          2001</t>
        </is>
      </c>
      <c r="D476" t="inlineStr">
        <is>
          <t>Music of a distant drum : classical Arabic, Persian, Turkish, and Hebrew poems / translated and introduced by Bernard Lewis.</t>
        </is>
      </c>
      <c r="F476" t="inlineStr">
        <is>
          <t>No</t>
        </is>
      </c>
      <c r="G476" t="inlineStr">
        <is>
          <t>1</t>
        </is>
      </c>
      <c r="H476" t="inlineStr">
        <is>
          <t>No</t>
        </is>
      </c>
      <c r="I476" t="inlineStr">
        <is>
          <t>No</t>
        </is>
      </c>
      <c r="J476" t="inlineStr">
        <is>
          <t>0</t>
        </is>
      </c>
      <c r="L476" t="inlineStr">
        <is>
          <t>Princeton, N.J. : Princeton University Press, c2001.</t>
        </is>
      </c>
      <c r="M476" t="inlineStr">
        <is>
          <t>2001</t>
        </is>
      </c>
      <c r="O476" t="inlineStr">
        <is>
          <t>eng</t>
        </is>
      </c>
      <c r="P476" t="inlineStr">
        <is>
          <t>nju</t>
        </is>
      </c>
      <c r="R476" t="inlineStr">
        <is>
          <t xml:space="preserve">PJ </t>
        </is>
      </c>
      <c r="S476" t="n">
        <v>3</v>
      </c>
      <c r="T476" t="n">
        <v>3</v>
      </c>
      <c r="U476" t="inlineStr">
        <is>
          <t>2003-08-20</t>
        </is>
      </c>
      <c r="V476" t="inlineStr">
        <is>
          <t>2003-08-20</t>
        </is>
      </c>
      <c r="W476" t="inlineStr">
        <is>
          <t>2002-03-19</t>
        </is>
      </c>
      <c r="X476" t="inlineStr">
        <is>
          <t>2002-03-19</t>
        </is>
      </c>
      <c r="Y476" t="n">
        <v>964</v>
      </c>
      <c r="Z476" t="n">
        <v>880</v>
      </c>
      <c r="AA476" t="n">
        <v>884</v>
      </c>
      <c r="AB476" t="n">
        <v>7</v>
      </c>
      <c r="AC476" t="n">
        <v>7</v>
      </c>
      <c r="AD476" t="n">
        <v>29</v>
      </c>
      <c r="AE476" t="n">
        <v>29</v>
      </c>
      <c r="AF476" t="n">
        <v>10</v>
      </c>
      <c r="AG476" t="n">
        <v>10</v>
      </c>
      <c r="AH476" t="n">
        <v>6</v>
      </c>
      <c r="AI476" t="n">
        <v>6</v>
      </c>
      <c r="AJ476" t="n">
        <v>15</v>
      </c>
      <c r="AK476" t="n">
        <v>15</v>
      </c>
      <c r="AL476" t="n">
        <v>4</v>
      </c>
      <c r="AM476" t="n">
        <v>4</v>
      </c>
      <c r="AN476" t="n">
        <v>0</v>
      </c>
      <c r="AO476" t="n">
        <v>0</v>
      </c>
      <c r="AP476" t="inlineStr">
        <is>
          <t>No</t>
        </is>
      </c>
      <c r="AQ476" t="inlineStr">
        <is>
          <t>No</t>
        </is>
      </c>
      <c r="AS476">
        <f>HYPERLINK("https://creighton-primo.hosted.exlibrisgroup.com/primo-explore/search?tab=default_tab&amp;search_scope=EVERYTHING&amp;vid=01CRU&amp;lang=en_US&amp;offset=0&amp;query=any,contains,991003702549702656","Catalog Record")</f>
        <v/>
      </c>
      <c r="AT476">
        <f>HYPERLINK("http://www.worldcat.org/oclc/46683481","WorldCat Record")</f>
        <v/>
      </c>
      <c r="AU476" t="inlineStr">
        <is>
          <t>138901045:eng</t>
        </is>
      </c>
      <c r="AV476" t="inlineStr">
        <is>
          <t>46683481</t>
        </is>
      </c>
      <c r="AW476" t="inlineStr">
        <is>
          <t>991003702549702656</t>
        </is>
      </c>
      <c r="AX476" t="inlineStr">
        <is>
          <t>991003702549702656</t>
        </is>
      </c>
      <c r="AY476" t="inlineStr">
        <is>
          <t>2255278850002656</t>
        </is>
      </c>
      <c r="AZ476" t="inlineStr">
        <is>
          <t>BOOK</t>
        </is>
      </c>
      <c r="BB476" t="inlineStr">
        <is>
          <t>9780691089287</t>
        </is>
      </c>
      <c r="BC476" t="inlineStr">
        <is>
          <t>32285004462288</t>
        </is>
      </c>
      <c r="BD476" t="inlineStr">
        <is>
          <t>893336819</t>
        </is>
      </c>
    </row>
    <row r="477">
      <c r="A477" t="inlineStr">
        <is>
          <t>No</t>
        </is>
      </c>
      <c r="B477" t="inlineStr">
        <is>
          <t>PJ433 .A5</t>
        </is>
      </c>
      <c r="C477" t="inlineStr">
        <is>
          <t>0                      PJ 0433000A  5</t>
        </is>
      </c>
      <c r="D477" t="inlineStr">
        <is>
          <t>The genius of the Oriental theater. Edited with introductions and notes by G. L. Anderson.</t>
        </is>
      </c>
      <c r="F477" t="inlineStr">
        <is>
          <t>No</t>
        </is>
      </c>
      <c r="G477" t="inlineStr">
        <is>
          <t>1</t>
        </is>
      </c>
      <c r="H477" t="inlineStr">
        <is>
          <t>No</t>
        </is>
      </c>
      <c r="I477" t="inlineStr">
        <is>
          <t>No</t>
        </is>
      </c>
      <c r="J477" t="inlineStr">
        <is>
          <t>0</t>
        </is>
      </c>
      <c r="K477" t="inlineStr">
        <is>
          <t>Anderson, G. L. (George Lincoln), 1920-, editor.</t>
        </is>
      </c>
      <c r="L477" t="inlineStr">
        <is>
          <t>New York, New American Library [1966]</t>
        </is>
      </c>
      <c r="M477" t="inlineStr">
        <is>
          <t>1966</t>
        </is>
      </c>
      <c r="O477" t="inlineStr">
        <is>
          <t>eng</t>
        </is>
      </c>
      <c r="P477" t="inlineStr">
        <is>
          <t>nyu</t>
        </is>
      </c>
      <c r="Q477" t="inlineStr">
        <is>
          <t>A Mentor book, MQ683</t>
        </is>
      </c>
      <c r="R477" t="inlineStr">
        <is>
          <t xml:space="preserve">PJ </t>
        </is>
      </c>
      <c r="S477" t="n">
        <v>5</v>
      </c>
      <c r="T477" t="n">
        <v>5</v>
      </c>
      <c r="U477" t="inlineStr">
        <is>
          <t>2005-03-31</t>
        </is>
      </c>
      <c r="V477" t="inlineStr">
        <is>
          <t>2005-03-31</t>
        </is>
      </c>
      <c r="W477" t="inlineStr">
        <is>
          <t>1997-09-11</t>
        </is>
      </c>
      <c r="X477" t="inlineStr">
        <is>
          <t>1997-09-11</t>
        </is>
      </c>
      <c r="Y477" t="n">
        <v>418</v>
      </c>
      <c r="Z477" t="n">
        <v>352</v>
      </c>
      <c r="AA477" t="n">
        <v>358</v>
      </c>
      <c r="AB477" t="n">
        <v>5</v>
      </c>
      <c r="AC477" t="n">
        <v>5</v>
      </c>
      <c r="AD477" t="n">
        <v>17</v>
      </c>
      <c r="AE477" t="n">
        <v>17</v>
      </c>
      <c r="AF477" t="n">
        <v>3</v>
      </c>
      <c r="AG477" t="n">
        <v>3</v>
      </c>
      <c r="AH477" t="n">
        <v>2</v>
      </c>
      <c r="AI477" t="n">
        <v>2</v>
      </c>
      <c r="AJ477" t="n">
        <v>10</v>
      </c>
      <c r="AK477" t="n">
        <v>10</v>
      </c>
      <c r="AL477" t="n">
        <v>4</v>
      </c>
      <c r="AM477" t="n">
        <v>4</v>
      </c>
      <c r="AN477" t="n">
        <v>0</v>
      </c>
      <c r="AO477" t="n">
        <v>0</v>
      </c>
      <c r="AP477" t="inlineStr">
        <is>
          <t>No</t>
        </is>
      </c>
      <c r="AQ477" t="inlineStr">
        <is>
          <t>Yes</t>
        </is>
      </c>
      <c r="AR477">
        <f>HYPERLINK("http://catalog.hathitrust.org/Record/006226830","HathiTrust Record")</f>
        <v/>
      </c>
      <c r="AS477">
        <f>HYPERLINK("https://creighton-primo.hosted.exlibrisgroup.com/primo-explore/search?tab=default_tab&amp;search_scope=EVERYTHING&amp;vid=01CRU&amp;lang=en_US&amp;offset=0&amp;query=any,contains,991002432679702656","Catalog Record")</f>
        <v/>
      </c>
      <c r="AT477">
        <f>HYPERLINK("http://www.worldcat.org/oclc/347690","WorldCat Record")</f>
        <v/>
      </c>
      <c r="AU477" t="inlineStr">
        <is>
          <t>1500576:eng</t>
        </is>
      </c>
      <c r="AV477" t="inlineStr">
        <is>
          <t>347690</t>
        </is>
      </c>
      <c r="AW477" t="inlineStr">
        <is>
          <t>991002432679702656</t>
        </is>
      </c>
      <c r="AX477" t="inlineStr">
        <is>
          <t>991002432679702656</t>
        </is>
      </c>
      <c r="AY477" t="inlineStr">
        <is>
          <t>2272558050002656</t>
        </is>
      </c>
      <c r="AZ477" t="inlineStr">
        <is>
          <t>BOOK</t>
        </is>
      </c>
      <c r="BC477" t="inlineStr">
        <is>
          <t>32285003222436</t>
        </is>
      </c>
      <c r="BD477" t="inlineStr">
        <is>
          <t>893603601</t>
        </is>
      </c>
    </row>
    <row r="478">
      <c r="A478" t="inlineStr">
        <is>
          <t>No</t>
        </is>
      </c>
      <c r="B478" t="inlineStr">
        <is>
          <t>PJ433 .B7</t>
        </is>
      </c>
      <c r="C478" t="inlineStr">
        <is>
          <t>0                      PJ 0433000B  7</t>
        </is>
      </c>
      <c r="D478" t="inlineStr">
        <is>
          <t>Traditional Asian plays. Edited and with an introd. by James R. Brandon.</t>
        </is>
      </c>
      <c r="F478" t="inlineStr">
        <is>
          <t>No</t>
        </is>
      </c>
      <c r="G478" t="inlineStr">
        <is>
          <t>1</t>
        </is>
      </c>
      <c r="H478" t="inlineStr">
        <is>
          <t>No</t>
        </is>
      </c>
      <c r="I478" t="inlineStr">
        <is>
          <t>No</t>
        </is>
      </c>
      <c r="J478" t="inlineStr">
        <is>
          <t>0</t>
        </is>
      </c>
      <c r="K478" t="inlineStr">
        <is>
          <t>Brandon, James R. compiler.</t>
        </is>
      </c>
      <c r="L478" t="inlineStr">
        <is>
          <t>New York, Hill &amp; Wang [1972]</t>
        </is>
      </c>
      <c r="M478" t="inlineStr">
        <is>
          <t>1972</t>
        </is>
      </c>
      <c r="N478" t="inlineStr">
        <is>
          <t>[1st ed.]</t>
        </is>
      </c>
      <c r="O478" t="inlineStr">
        <is>
          <t>eng</t>
        </is>
      </c>
      <c r="P478" t="inlineStr">
        <is>
          <t>nyu</t>
        </is>
      </c>
      <c r="Q478" t="inlineStr">
        <is>
          <t>A Mermaid dramabook</t>
        </is>
      </c>
      <c r="R478" t="inlineStr">
        <is>
          <t xml:space="preserve">PJ </t>
        </is>
      </c>
      <c r="S478" t="n">
        <v>4</v>
      </c>
      <c r="T478" t="n">
        <v>4</v>
      </c>
      <c r="U478" t="inlineStr">
        <is>
          <t>2008-03-17</t>
        </is>
      </c>
      <c r="V478" t="inlineStr">
        <is>
          <t>2008-03-17</t>
        </is>
      </c>
      <c r="W478" t="inlineStr">
        <is>
          <t>1997-09-11</t>
        </is>
      </c>
      <c r="X478" t="inlineStr">
        <is>
          <t>1997-09-11</t>
        </is>
      </c>
      <c r="Y478" t="n">
        <v>856</v>
      </c>
      <c r="Z478" t="n">
        <v>780</v>
      </c>
      <c r="AA478" t="n">
        <v>784</v>
      </c>
      <c r="AB478" t="n">
        <v>7</v>
      </c>
      <c r="AC478" t="n">
        <v>7</v>
      </c>
      <c r="AD478" t="n">
        <v>32</v>
      </c>
      <c r="AE478" t="n">
        <v>32</v>
      </c>
      <c r="AF478" t="n">
        <v>12</v>
      </c>
      <c r="AG478" t="n">
        <v>12</v>
      </c>
      <c r="AH478" t="n">
        <v>9</v>
      </c>
      <c r="AI478" t="n">
        <v>9</v>
      </c>
      <c r="AJ478" t="n">
        <v>14</v>
      </c>
      <c r="AK478" t="n">
        <v>14</v>
      </c>
      <c r="AL478" t="n">
        <v>6</v>
      </c>
      <c r="AM478" t="n">
        <v>6</v>
      </c>
      <c r="AN478" t="n">
        <v>0</v>
      </c>
      <c r="AO478" t="n">
        <v>0</v>
      </c>
      <c r="AP478" t="inlineStr">
        <is>
          <t>No</t>
        </is>
      </c>
      <c r="AQ478" t="inlineStr">
        <is>
          <t>No</t>
        </is>
      </c>
      <c r="AS478">
        <f>HYPERLINK("https://creighton-primo.hosted.exlibrisgroup.com/primo-explore/search?tab=default_tab&amp;search_scope=EVERYTHING&amp;vid=01CRU&amp;lang=en_US&amp;offset=0&amp;query=any,contains,991002003119702656","Catalog Record")</f>
        <v/>
      </c>
      <c r="AT478">
        <f>HYPERLINK("http://www.worldcat.org/oclc/257135","WorldCat Record")</f>
        <v/>
      </c>
      <c r="AU478" t="inlineStr">
        <is>
          <t>1357215:eng</t>
        </is>
      </c>
      <c r="AV478" t="inlineStr">
        <is>
          <t>257135</t>
        </is>
      </c>
      <c r="AW478" t="inlineStr">
        <is>
          <t>991002003119702656</t>
        </is>
      </c>
      <c r="AX478" t="inlineStr">
        <is>
          <t>991002003119702656</t>
        </is>
      </c>
      <c r="AY478" t="inlineStr">
        <is>
          <t>2269960320002656</t>
        </is>
      </c>
      <c r="AZ478" t="inlineStr">
        <is>
          <t>BOOK</t>
        </is>
      </c>
      <c r="BB478" t="inlineStr">
        <is>
          <t>9780809094158</t>
        </is>
      </c>
      <c r="BC478" t="inlineStr">
        <is>
          <t>32285003222444</t>
        </is>
      </c>
      <c r="BD478" t="inlineStr">
        <is>
          <t>893346992</t>
        </is>
      </c>
    </row>
    <row r="479">
      <c r="A479" t="inlineStr">
        <is>
          <t>No</t>
        </is>
      </c>
      <c r="B479" t="inlineStr">
        <is>
          <t>PJ4544 .B37</t>
        </is>
      </c>
      <c r="C479" t="inlineStr">
        <is>
          <t>0                      PJ 4544000B  37</t>
        </is>
      </c>
      <c r="D479" t="inlineStr">
        <is>
          <t>Comparative philology and the text of the Old Testament.</t>
        </is>
      </c>
      <c r="F479" t="inlineStr">
        <is>
          <t>No</t>
        </is>
      </c>
      <c r="G479" t="inlineStr">
        <is>
          <t>1</t>
        </is>
      </c>
      <c r="H479" t="inlineStr">
        <is>
          <t>No</t>
        </is>
      </c>
      <c r="I479" t="inlineStr">
        <is>
          <t>No</t>
        </is>
      </c>
      <c r="J479" t="inlineStr">
        <is>
          <t>0</t>
        </is>
      </c>
      <c r="K479" t="inlineStr">
        <is>
          <t>Barr, James, 1924-2006.</t>
        </is>
      </c>
      <c r="L479" t="inlineStr">
        <is>
          <t>Oxford, Clarendon P., 1968.</t>
        </is>
      </c>
      <c r="M479" t="inlineStr">
        <is>
          <t>1968</t>
        </is>
      </c>
      <c r="O479" t="inlineStr">
        <is>
          <t>eng</t>
        </is>
      </c>
      <c r="P479" t="inlineStr">
        <is>
          <t>enk</t>
        </is>
      </c>
      <c r="R479" t="inlineStr">
        <is>
          <t xml:space="preserve">PJ </t>
        </is>
      </c>
      <c r="S479" t="n">
        <v>2</v>
      </c>
      <c r="T479" t="n">
        <v>2</v>
      </c>
      <c r="U479" t="inlineStr">
        <is>
          <t>2002-08-19</t>
        </is>
      </c>
      <c r="V479" t="inlineStr">
        <is>
          <t>2002-08-19</t>
        </is>
      </c>
      <c r="W479" t="inlineStr">
        <is>
          <t>1997-09-11</t>
        </is>
      </c>
      <c r="X479" t="inlineStr">
        <is>
          <t>1997-09-11</t>
        </is>
      </c>
      <c r="Y479" t="n">
        <v>538</v>
      </c>
      <c r="Z479" t="n">
        <v>398</v>
      </c>
      <c r="AA479" t="n">
        <v>464</v>
      </c>
      <c r="AB479" t="n">
        <v>3</v>
      </c>
      <c r="AC479" t="n">
        <v>3</v>
      </c>
      <c r="AD479" t="n">
        <v>16</v>
      </c>
      <c r="AE479" t="n">
        <v>21</v>
      </c>
      <c r="AF479" t="n">
        <v>2</v>
      </c>
      <c r="AG479" t="n">
        <v>6</v>
      </c>
      <c r="AH479" t="n">
        <v>5</v>
      </c>
      <c r="AI479" t="n">
        <v>6</v>
      </c>
      <c r="AJ479" t="n">
        <v>11</v>
      </c>
      <c r="AK479" t="n">
        <v>13</v>
      </c>
      <c r="AL479" t="n">
        <v>1</v>
      </c>
      <c r="AM479" t="n">
        <v>1</v>
      </c>
      <c r="AN479" t="n">
        <v>0</v>
      </c>
      <c r="AO479" t="n">
        <v>0</v>
      </c>
      <c r="AP479" t="inlineStr">
        <is>
          <t>No</t>
        </is>
      </c>
      <c r="AQ479" t="inlineStr">
        <is>
          <t>Yes</t>
        </is>
      </c>
      <c r="AR479">
        <f>HYPERLINK("http://catalog.hathitrust.org/Record/000982053","HathiTrust Record")</f>
        <v/>
      </c>
      <c r="AS479">
        <f>HYPERLINK("https://creighton-primo.hosted.exlibrisgroup.com/primo-explore/search?tab=default_tab&amp;search_scope=EVERYTHING&amp;vid=01CRU&amp;lang=en_US&amp;offset=0&amp;query=any,contains,991000098299702656","Catalog Record")</f>
        <v/>
      </c>
      <c r="AT479">
        <f>HYPERLINK("http://www.worldcat.org/oclc/43116","WorldCat Record")</f>
        <v/>
      </c>
      <c r="AU479" t="inlineStr">
        <is>
          <t>60327855:eng</t>
        </is>
      </c>
      <c r="AV479" t="inlineStr">
        <is>
          <t>43116</t>
        </is>
      </c>
      <c r="AW479" t="inlineStr">
        <is>
          <t>991000098299702656</t>
        </is>
      </c>
      <c r="AX479" t="inlineStr">
        <is>
          <t>991000098299702656</t>
        </is>
      </c>
      <c r="AY479" t="inlineStr">
        <is>
          <t>2260511640002656</t>
        </is>
      </c>
      <c r="AZ479" t="inlineStr">
        <is>
          <t>BOOK</t>
        </is>
      </c>
      <c r="BB479" t="inlineStr">
        <is>
          <t>9780198266181</t>
        </is>
      </c>
      <c r="BC479" t="inlineStr">
        <is>
          <t>32285003222576</t>
        </is>
      </c>
      <c r="BD479" t="inlineStr">
        <is>
          <t>893877798</t>
        </is>
      </c>
    </row>
    <row r="480">
      <c r="A480" t="inlineStr">
        <is>
          <t>No</t>
        </is>
      </c>
      <c r="B480" t="inlineStr">
        <is>
          <t>PJ4564 .G57 1970</t>
        </is>
      </c>
      <c r="C480" t="inlineStr">
        <is>
          <t>0                      PJ 4564000G  57          1970</t>
        </is>
      </c>
      <c r="D480" t="inlineStr">
        <is>
          <t>Gesenius' Hebrew grammar / as edited and enlarged by the late E. Kautzsche. With a facsimile of the Siloam inscription by J. Euting, and a table of alphabets by M. Lidzbarski.</t>
        </is>
      </c>
      <c r="F480" t="inlineStr">
        <is>
          <t>No</t>
        </is>
      </c>
      <c r="G480" t="inlineStr">
        <is>
          <t>1</t>
        </is>
      </c>
      <c r="H480" t="inlineStr">
        <is>
          <t>No</t>
        </is>
      </c>
      <c r="I480" t="inlineStr">
        <is>
          <t>No</t>
        </is>
      </c>
      <c r="J480" t="inlineStr">
        <is>
          <t>0</t>
        </is>
      </c>
      <c r="K480" t="inlineStr">
        <is>
          <t>Gesenius, Wilhelm, 1786-1842.</t>
        </is>
      </c>
      <c r="L480" t="inlineStr">
        <is>
          <t>Oxford : Clarendon Press, 1910, 1970.</t>
        </is>
      </c>
      <c r="M480" t="inlineStr">
        <is>
          <t>1970</t>
        </is>
      </c>
      <c r="N480" t="inlineStr">
        <is>
          <t>2d English ed. / rev. in accordance with the twenty-eighth German ed. (1909) by A.E. Cowley.</t>
        </is>
      </c>
      <c r="O480" t="inlineStr">
        <is>
          <t>eng</t>
        </is>
      </c>
      <c r="P480" t="inlineStr">
        <is>
          <t>enk</t>
        </is>
      </c>
      <c r="R480" t="inlineStr">
        <is>
          <t xml:space="preserve">PJ </t>
        </is>
      </c>
      <c r="S480" t="n">
        <v>2</v>
      </c>
      <c r="T480" t="n">
        <v>2</v>
      </c>
      <c r="U480" t="inlineStr">
        <is>
          <t>2009-06-15</t>
        </is>
      </c>
      <c r="V480" t="inlineStr">
        <is>
          <t>2009-06-15</t>
        </is>
      </c>
      <c r="W480" t="inlineStr">
        <is>
          <t>2008-05-20</t>
        </is>
      </c>
      <c r="X480" t="inlineStr">
        <is>
          <t>2008-05-20</t>
        </is>
      </c>
      <c r="Y480" t="n">
        <v>391</v>
      </c>
      <c r="Z480" t="n">
        <v>332</v>
      </c>
      <c r="AA480" t="n">
        <v>721</v>
      </c>
      <c r="AB480" t="n">
        <v>3</v>
      </c>
      <c r="AC480" t="n">
        <v>7</v>
      </c>
      <c r="AD480" t="n">
        <v>16</v>
      </c>
      <c r="AE480" t="n">
        <v>32</v>
      </c>
      <c r="AF480" t="n">
        <v>4</v>
      </c>
      <c r="AG480" t="n">
        <v>9</v>
      </c>
      <c r="AH480" t="n">
        <v>3</v>
      </c>
      <c r="AI480" t="n">
        <v>7</v>
      </c>
      <c r="AJ480" t="n">
        <v>10</v>
      </c>
      <c r="AK480" t="n">
        <v>17</v>
      </c>
      <c r="AL480" t="n">
        <v>2</v>
      </c>
      <c r="AM480" t="n">
        <v>5</v>
      </c>
      <c r="AN480" t="n">
        <v>0</v>
      </c>
      <c r="AO480" t="n">
        <v>0</v>
      </c>
      <c r="AP480" t="inlineStr">
        <is>
          <t>Yes</t>
        </is>
      </c>
      <c r="AQ480" t="inlineStr">
        <is>
          <t>No</t>
        </is>
      </c>
      <c r="AR480">
        <f>HYPERLINK("http://catalog.hathitrust.org/Record/001231775","HathiTrust Record")</f>
        <v/>
      </c>
      <c r="AS480">
        <f>HYPERLINK("https://creighton-primo.hosted.exlibrisgroup.com/primo-explore/search?tab=default_tab&amp;search_scope=EVERYTHING&amp;vid=01CRU&amp;lang=en_US&amp;offset=0&amp;query=any,contains,991005223949702656","Catalog Record")</f>
        <v/>
      </c>
      <c r="AT480">
        <f>HYPERLINK("http://www.worldcat.org/oclc/575651","WorldCat Record")</f>
        <v/>
      </c>
      <c r="AU480" t="inlineStr">
        <is>
          <t>1090477995:eng</t>
        </is>
      </c>
      <c r="AV480" t="inlineStr">
        <is>
          <t>575651</t>
        </is>
      </c>
      <c r="AW480" t="inlineStr">
        <is>
          <t>991005223949702656</t>
        </is>
      </c>
      <c r="AX480" t="inlineStr">
        <is>
          <t>991005223949702656</t>
        </is>
      </c>
      <c r="AY480" t="inlineStr">
        <is>
          <t>2258189260002656</t>
        </is>
      </c>
      <c r="AZ480" t="inlineStr">
        <is>
          <t>BOOK</t>
        </is>
      </c>
      <c r="BC480" t="inlineStr">
        <is>
          <t>32285005409882</t>
        </is>
      </c>
      <c r="BD480" t="inlineStr">
        <is>
          <t>893701231</t>
        </is>
      </c>
    </row>
    <row r="481">
      <c r="A481" t="inlineStr">
        <is>
          <t>No</t>
        </is>
      </c>
      <c r="B481" t="inlineStr">
        <is>
          <t>PJ4567 .J7613 1993</t>
        </is>
      </c>
      <c r="C481" t="inlineStr">
        <is>
          <t>0                      PJ 4567000J  7613        1993</t>
        </is>
      </c>
      <c r="D481" t="inlineStr">
        <is>
          <t>A grammar of Biblical Hebrew / Paul Joüon ; translated and revised by T. Muraoka.</t>
        </is>
      </c>
      <c r="E481" t="inlineStr">
        <is>
          <t>V.2</t>
        </is>
      </c>
      <c r="F481" t="inlineStr">
        <is>
          <t>Yes</t>
        </is>
      </c>
      <c r="G481" t="inlineStr">
        <is>
          <t>1</t>
        </is>
      </c>
      <c r="H481" t="inlineStr">
        <is>
          <t>No</t>
        </is>
      </c>
      <c r="I481" t="inlineStr">
        <is>
          <t>No</t>
        </is>
      </c>
      <c r="J481" t="inlineStr">
        <is>
          <t>0</t>
        </is>
      </c>
      <c r="K481" t="inlineStr">
        <is>
          <t>Joüon, Paul, 1871-1940.</t>
        </is>
      </c>
      <c r="L481" t="inlineStr">
        <is>
          <t>Roma : Editrice Pontificio Istituto Biblio, 1993.</t>
        </is>
      </c>
      <c r="M481" t="inlineStr">
        <is>
          <t>1993</t>
        </is>
      </c>
      <c r="N481" t="inlineStr">
        <is>
          <t>1st ed., with corrections.</t>
        </is>
      </c>
      <c r="O481" t="inlineStr">
        <is>
          <t>eng</t>
        </is>
      </c>
      <c r="P481" t="inlineStr">
        <is>
          <t xml:space="preserve">it </t>
        </is>
      </c>
      <c r="Q481" t="inlineStr">
        <is>
          <t>Subsidia Biblica ; 14/1-14/2</t>
        </is>
      </c>
      <c r="R481" t="inlineStr">
        <is>
          <t xml:space="preserve">PJ </t>
        </is>
      </c>
      <c r="S481" t="n">
        <v>0</v>
      </c>
      <c r="T481" t="n">
        <v>0</v>
      </c>
      <c r="U481" t="inlineStr">
        <is>
          <t>2006-10-30</t>
        </is>
      </c>
      <c r="V481" t="inlineStr">
        <is>
          <t>2006-10-30</t>
        </is>
      </c>
      <c r="W481" t="inlineStr">
        <is>
          <t>1994-03-02</t>
        </is>
      </c>
      <c r="X481" t="inlineStr">
        <is>
          <t>1994-03-02</t>
        </is>
      </c>
      <c r="Y481" t="n">
        <v>110</v>
      </c>
      <c r="Z481" t="n">
        <v>94</v>
      </c>
      <c r="AA481" t="n">
        <v>326</v>
      </c>
      <c r="AB481" t="n">
        <v>1</v>
      </c>
      <c r="AC481" t="n">
        <v>2</v>
      </c>
      <c r="AD481" t="n">
        <v>5</v>
      </c>
      <c r="AE481" t="n">
        <v>17</v>
      </c>
      <c r="AF481" t="n">
        <v>4</v>
      </c>
      <c r="AG481" t="n">
        <v>9</v>
      </c>
      <c r="AH481" t="n">
        <v>0</v>
      </c>
      <c r="AI481" t="n">
        <v>2</v>
      </c>
      <c r="AJ481" t="n">
        <v>2</v>
      </c>
      <c r="AK481" t="n">
        <v>9</v>
      </c>
      <c r="AL481" t="n">
        <v>0</v>
      </c>
      <c r="AM481" t="n">
        <v>1</v>
      </c>
      <c r="AN481" t="n">
        <v>0</v>
      </c>
      <c r="AO481" t="n">
        <v>0</v>
      </c>
      <c r="AP481" t="inlineStr">
        <is>
          <t>No</t>
        </is>
      </c>
      <c r="AQ481" t="inlineStr">
        <is>
          <t>No</t>
        </is>
      </c>
      <c r="AS481">
        <f>HYPERLINK("https://creighton-primo.hosted.exlibrisgroup.com/primo-explore/search?tab=default_tab&amp;search_scope=EVERYTHING&amp;vid=01CRU&amp;lang=en_US&amp;offset=0&amp;query=any,contains,991002276419702656","Catalog Record")</f>
        <v/>
      </c>
      <c r="AT481">
        <f>HYPERLINK("http://www.worldcat.org/oclc/29546630","WorldCat Record")</f>
        <v/>
      </c>
      <c r="AU481" t="inlineStr">
        <is>
          <t>3856613294:eng</t>
        </is>
      </c>
      <c r="AV481" t="inlineStr">
        <is>
          <t>29546630</t>
        </is>
      </c>
      <c r="AW481" t="inlineStr">
        <is>
          <t>991002276419702656</t>
        </is>
      </c>
      <c r="AX481" t="inlineStr">
        <is>
          <t>991002276419702656</t>
        </is>
      </c>
      <c r="AY481" t="inlineStr">
        <is>
          <t>2271064540002656</t>
        </is>
      </c>
      <c r="AZ481" t="inlineStr">
        <is>
          <t>BOOK</t>
        </is>
      </c>
      <c r="BB481" t="inlineStr">
        <is>
          <t>9788876535956</t>
        </is>
      </c>
      <c r="BC481" t="inlineStr">
        <is>
          <t>32285001843993</t>
        </is>
      </c>
      <c r="BD481" t="inlineStr">
        <is>
          <t>893322744</t>
        </is>
      </c>
    </row>
    <row r="482">
      <c r="A482" t="inlineStr">
        <is>
          <t>No</t>
        </is>
      </c>
      <c r="B482" t="inlineStr">
        <is>
          <t>PJ4567 .J7613 1993</t>
        </is>
      </c>
      <c r="C482" t="inlineStr">
        <is>
          <t>0                      PJ 4567000J  7613        1993</t>
        </is>
      </c>
      <c r="D482" t="inlineStr">
        <is>
          <t>A grammar of Biblical Hebrew / Paul Joüon ; translated and revised by T. Muraoka.</t>
        </is>
      </c>
      <c r="E482" t="inlineStr">
        <is>
          <t>V.1</t>
        </is>
      </c>
      <c r="F482" t="inlineStr">
        <is>
          <t>Yes</t>
        </is>
      </c>
      <c r="G482" t="inlineStr">
        <is>
          <t>1</t>
        </is>
      </c>
      <c r="H482" t="inlineStr">
        <is>
          <t>No</t>
        </is>
      </c>
      <c r="I482" t="inlineStr">
        <is>
          <t>No</t>
        </is>
      </c>
      <c r="J482" t="inlineStr">
        <is>
          <t>0</t>
        </is>
      </c>
      <c r="K482" t="inlineStr">
        <is>
          <t>Joüon, Paul, 1871-1940.</t>
        </is>
      </c>
      <c r="L482" t="inlineStr">
        <is>
          <t>Roma : Editrice Pontificio Istituto Biblio, 1993.</t>
        </is>
      </c>
      <c r="M482" t="inlineStr">
        <is>
          <t>1993</t>
        </is>
      </c>
      <c r="N482" t="inlineStr">
        <is>
          <t>1st ed., with corrections.</t>
        </is>
      </c>
      <c r="O482" t="inlineStr">
        <is>
          <t>eng</t>
        </is>
      </c>
      <c r="P482" t="inlineStr">
        <is>
          <t xml:space="preserve">it </t>
        </is>
      </c>
      <c r="Q482" t="inlineStr">
        <is>
          <t>Subsidia Biblica ; 14/1-14/2</t>
        </is>
      </c>
      <c r="R482" t="inlineStr">
        <is>
          <t xml:space="preserve">PJ </t>
        </is>
      </c>
      <c r="S482" t="n">
        <v>0</v>
      </c>
      <c r="T482" t="n">
        <v>0</v>
      </c>
      <c r="U482" t="inlineStr">
        <is>
          <t>2006-10-30</t>
        </is>
      </c>
      <c r="V482" t="inlineStr">
        <is>
          <t>2006-10-30</t>
        </is>
      </c>
      <c r="W482" t="inlineStr">
        <is>
          <t>1994-03-02</t>
        </is>
      </c>
      <c r="X482" t="inlineStr">
        <is>
          <t>1994-03-02</t>
        </is>
      </c>
      <c r="Y482" t="n">
        <v>110</v>
      </c>
      <c r="Z482" t="n">
        <v>94</v>
      </c>
      <c r="AA482" t="n">
        <v>326</v>
      </c>
      <c r="AB482" t="n">
        <v>1</v>
      </c>
      <c r="AC482" t="n">
        <v>2</v>
      </c>
      <c r="AD482" t="n">
        <v>5</v>
      </c>
      <c r="AE482" t="n">
        <v>17</v>
      </c>
      <c r="AF482" t="n">
        <v>4</v>
      </c>
      <c r="AG482" t="n">
        <v>9</v>
      </c>
      <c r="AH482" t="n">
        <v>0</v>
      </c>
      <c r="AI482" t="n">
        <v>2</v>
      </c>
      <c r="AJ482" t="n">
        <v>2</v>
      </c>
      <c r="AK482" t="n">
        <v>9</v>
      </c>
      <c r="AL482" t="n">
        <v>0</v>
      </c>
      <c r="AM482" t="n">
        <v>1</v>
      </c>
      <c r="AN482" t="n">
        <v>0</v>
      </c>
      <c r="AO482" t="n">
        <v>0</v>
      </c>
      <c r="AP482" t="inlineStr">
        <is>
          <t>No</t>
        </is>
      </c>
      <c r="AQ482" t="inlineStr">
        <is>
          <t>No</t>
        </is>
      </c>
      <c r="AS482">
        <f>HYPERLINK("https://creighton-primo.hosted.exlibrisgroup.com/primo-explore/search?tab=default_tab&amp;search_scope=EVERYTHING&amp;vid=01CRU&amp;lang=en_US&amp;offset=0&amp;query=any,contains,991002276419702656","Catalog Record")</f>
        <v/>
      </c>
      <c r="AT482">
        <f>HYPERLINK("http://www.worldcat.org/oclc/29546630","WorldCat Record")</f>
        <v/>
      </c>
      <c r="AU482" t="inlineStr">
        <is>
          <t>3856613294:eng</t>
        </is>
      </c>
      <c r="AV482" t="inlineStr">
        <is>
          <t>29546630</t>
        </is>
      </c>
      <c r="AW482" t="inlineStr">
        <is>
          <t>991002276419702656</t>
        </is>
      </c>
      <c r="AX482" t="inlineStr">
        <is>
          <t>991002276419702656</t>
        </is>
      </c>
      <c r="AY482" t="inlineStr">
        <is>
          <t>2271064540002656</t>
        </is>
      </c>
      <c r="AZ482" t="inlineStr">
        <is>
          <t>BOOK</t>
        </is>
      </c>
      <c r="BB482" t="inlineStr">
        <is>
          <t>9788876535956</t>
        </is>
      </c>
      <c r="BC482" t="inlineStr">
        <is>
          <t>32285001843985</t>
        </is>
      </c>
      <c r="BD482" t="inlineStr">
        <is>
          <t>893347317</t>
        </is>
      </c>
    </row>
    <row r="483">
      <c r="A483" t="inlineStr">
        <is>
          <t>No</t>
        </is>
      </c>
      <c r="B483" t="inlineStr">
        <is>
          <t>PJ4567 .L3 1971</t>
        </is>
      </c>
      <c r="C483" t="inlineStr">
        <is>
          <t>0                      PJ 4567000L  3           1971</t>
        </is>
      </c>
      <c r="D483" t="inlineStr">
        <is>
          <t>Introduction to Biblical Hebrew / [by] Thomas O. Lambdin.</t>
        </is>
      </c>
      <c r="F483" t="inlineStr">
        <is>
          <t>No</t>
        </is>
      </c>
      <c r="G483" t="inlineStr">
        <is>
          <t>2</t>
        </is>
      </c>
      <c r="H483" t="inlineStr">
        <is>
          <t>No</t>
        </is>
      </c>
      <c r="I483" t="inlineStr">
        <is>
          <t>No</t>
        </is>
      </c>
      <c r="J483" t="inlineStr">
        <is>
          <t>0</t>
        </is>
      </c>
      <c r="K483" t="inlineStr">
        <is>
          <t>Lambdin, Thomas O. (Thomas Oden)</t>
        </is>
      </c>
      <c r="L483" t="inlineStr">
        <is>
          <t>New York : Scribner, [1971]</t>
        </is>
      </c>
      <c r="M483" t="inlineStr">
        <is>
          <t>1971</t>
        </is>
      </c>
      <c r="O483" t="inlineStr">
        <is>
          <t>eng</t>
        </is>
      </c>
      <c r="P483" t="inlineStr">
        <is>
          <t>nyu</t>
        </is>
      </c>
      <c r="R483" t="inlineStr">
        <is>
          <t xml:space="preserve">PJ </t>
        </is>
      </c>
      <c r="S483" t="n">
        <v>4</v>
      </c>
      <c r="T483" t="n">
        <v>4</v>
      </c>
      <c r="U483" t="inlineStr">
        <is>
          <t>2009-06-02</t>
        </is>
      </c>
      <c r="V483" t="inlineStr">
        <is>
          <t>2009-06-02</t>
        </is>
      </c>
      <c r="W483" t="inlineStr">
        <is>
          <t>1995-05-25</t>
        </is>
      </c>
      <c r="X483" t="inlineStr">
        <is>
          <t>1995-05-25</t>
        </is>
      </c>
      <c r="Y483" t="n">
        <v>578</v>
      </c>
      <c r="Z483" t="n">
        <v>491</v>
      </c>
      <c r="AA483" t="n">
        <v>543</v>
      </c>
      <c r="AB483" t="n">
        <v>7</v>
      </c>
      <c r="AC483" t="n">
        <v>8</v>
      </c>
      <c r="AD483" t="n">
        <v>34</v>
      </c>
      <c r="AE483" t="n">
        <v>34</v>
      </c>
      <c r="AF483" t="n">
        <v>14</v>
      </c>
      <c r="AG483" t="n">
        <v>14</v>
      </c>
      <c r="AH483" t="n">
        <v>6</v>
      </c>
      <c r="AI483" t="n">
        <v>6</v>
      </c>
      <c r="AJ483" t="n">
        <v>20</v>
      </c>
      <c r="AK483" t="n">
        <v>20</v>
      </c>
      <c r="AL483" t="n">
        <v>3</v>
      </c>
      <c r="AM483" t="n">
        <v>3</v>
      </c>
      <c r="AN483" t="n">
        <v>0</v>
      </c>
      <c r="AO483" t="n">
        <v>0</v>
      </c>
      <c r="AP483" t="inlineStr">
        <is>
          <t>No</t>
        </is>
      </c>
      <c r="AQ483" t="inlineStr">
        <is>
          <t>No</t>
        </is>
      </c>
      <c r="AS483">
        <f>HYPERLINK("https://creighton-primo.hosted.exlibrisgroup.com/primo-explore/search?tab=default_tab&amp;search_scope=EVERYTHING&amp;vid=01CRU&amp;lang=en_US&amp;offset=0&amp;query=any,contains,991001360459702656","Catalog Record")</f>
        <v/>
      </c>
      <c r="AT483">
        <f>HYPERLINK("http://www.worldcat.org/oclc/221902","WorldCat Record")</f>
        <v/>
      </c>
      <c r="AU483" t="inlineStr">
        <is>
          <t>5610231748:eng</t>
        </is>
      </c>
      <c r="AV483" t="inlineStr">
        <is>
          <t>221902</t>
        </is>
      </c>
      <c r="AW483" t="inlineStr">
        <is>
          <t>991001360459702656</t>
        </is>
      </c>
      <c r="AX483" t="inlineStr">
        <is>
          <t>991001360459702656</t>
        </is>
      </c>
      <c r="AY483" t="inlineStr">
        <is>
          <t>2258423290002656</t>
        </is>
      </c>
      <c r="AZ483" t="inlineStr">
        <is>
          <t>BOOK</t>
        </is>
      </c>
      <c r="BB483" t="inlineStr">
        <is>
          <t>9780684413228</t>
        </is>
      </c>
      <c r="BC483" t="inlineStr">
        <is>
          <t>32285002056744</t>
        </is>
      </c>
      <c r="BD483" t="inlineStr">
        <is>
          <t>893891515</t>
        </is>
      </c>
    </row>
    <row r="484">
      <c r="A484" t="inlineStr">
        <is>
          <t>No</t>
        </is>
      </c>
      <c r="B484" t="inlineStr">
        <is>
          <t>PJ4567 .M2 1875</t>
        </is>
      </c>
      <c r="C484" t="inlineStr">
        <is>
          <t>0                      PJ 4567000M  2           1875</t>
        </is>
      </c>
      <c r="D484" t="inlineStr">
        <is>
          <t>Hebrew reader and grammar with exercises for translation, for the use of schools, by S. Mannheimer.</t>
        </is>
      </c>
      <c r="F484" t="inlineStr">
        <is>
          <t>No</t>
        </is>
      </c>
      <c r="G484" t="inlineStr">
        <is>
          <t>1</t>
        </is>
      </c>
      <c r="H484" t="inlineStr">
        <is>
          <t>No</t>
        </is>
      </c>
      <c r="I484" t="inlineStr">
        <is>
          <t>No</t>
        </is>
      </c>
      <c r="J484" t="inlineStr">
        <is>
          <t>0</t>
        </is>
      </c>
      <c r="K484" t="inlineStr">
        <is>
          <t>Mannheimer, S. (Sigmund), 1835-1909.</t>
        </is>
      </c>
      <c r="L484" t="inlineStr">
        <is>
          <t>St. Louis, Mo., F. Roeslein, 1875.</t>
        </is>
      </c>
      <c r="M484" t="inlineStr">
        <is>
          <t>1875</t>
        </is>
      </c>
      <c r="N484" t="inlineStr">
        <is>
          <t>2d. ed.</t>
        </is>
      </c>
      <c r="O484" t="inlineStr">
        <is>
          <t>eng</t>
        </is>
      </c>
      <c r="P484" t="inlineStr">
        <is>
          <t>mou</t>
        </is>
      </c>
      <c r="R484" t="inlineStr">
        <is>
          <t xml:space="preserve">PJ </t>
        </is>
      </c>
      <c r="S484" t="n">
        <v>1</v>
      </c>
      <c r="T484" t="n">
        <v>1</v>
      </c>
      <c r="U484" t="inlineStr">
        <is>
          <t>2007-03-22</t>
        </is>
      </c>
      <c r="V484" t="inlineStr">
        <is>
          <t>2007-03-22</t>
        </is>
      </c>
      <c r="W484" t="inlineStr">
        <is>
          <t>1997-09-11</t>
        </is>
      </c>
      <c r="X484" t="inlineStr">
        <is>
          <t>1997-09-11</t>
        </is>
      </c>
      <c r="Y484" t="n">
        <v>17</v>
      </c>
      <c r="Z484" t="n">
        <v>17</v>
      </c>
      <c r="AA484" t="n">
        <v>31</v>
      </c>
      <c r="AB484" t="n">
        <v>1</v>
      </c>
      <c r="AC484" t="n">
        <v>1</v>
      </c>
      <c r="AD484" t="n">
        <v>1</v>
      </c>
      <c r="AE484" t="n">
        <v>1</v>
      </c>
      <c r="AF484" t="n">
        <v>1</v>
      </c>
      <c r="AG484" t="n">
        <v>1</v>
      </c>
      <c r="AH484" t="n">
        <v>0</v>
      </c>
      <c r="AI484" t="n">
        <v>0</v>
      </c>
      <c r="AJ484" t="n">
        <v>1</v>
      </c>
      <c r="AK484" t="n">
        <v>1</v>
      </c>
      <c r="AL484" t="n">
        <v>0</v>
      </c>
      <c r="AM484" t="n">
        <v>0</v>
      </c>
      <c r="AN484" t="n">
        <v>0</v>
      </c>
      <c r="AO484" t="n">
        <v>0</v>
      </c>
      <c r="AP484" t="inlineStr">
        <is>
          <t>No</t>
        </is>
      </c>
      <c r="AQ484" t="inlineStr">
        <is>
          <t>No</t>
        </is>
      </c>
      <c r="AS484">
        <f>HYPERLINK("https://creighton-primo.hosted.exlibrisgroup.com/primo-explore/search?tab=default_tab&amp;search_scope=EVERYTHING&amp;vid=01CRU&amp;lang=en_US&amp;offset=0&amp;query=any,contains,991000946039702656","Catalog Record")</f>
        <v/>
      </c>
      <c r="AT484">
        <f>HYPERLINK("http://www.worldcat.org/oclc/14578390","WorldCat Record")</f>
        <v/>
      </c>
      <c r="AU484" t="inlineStr">
        <is>
          <t>8907950120:eng</t>
        </is>
      </c>
      <c r="AV484" t="inlineStr">
        <is>
          <t>14578390</t>
        </is>
      </c>
      <c r="AW484" t="inlineStr">
        <is>
          <t>991000946039702656</t>
        </is>
      </c>
      <c r="AX484" t="inlineStr">
        <is>
          <t>991000946039702656</t>
        </is>
      </c>
      <c r="AY484" t="inlineStr">
        <is>
          <t>2272109320002656</t>
        </is>
      </c>
      <c r="AZ484" t="inlineStr">
        <is>
          <t>BOOK</t>
        </is>
      </c>
      <c r="BC484" t="inlineStr">
        <is>
          <t>32285003222592</t>
        </is>
      </c>
      <c r="BD484" t="inlineStr">
        <is>
          <t>893255881</t>
        </is>
      </c>
    </row>
    <row r="485">
      <c r="A485" t="inlineStr">
        <is>
          <t>No</t>
        </is>
      </c>
      <c r="B485" t="inlineStr">
        <is>
          <t>PJ4567 .M23 1979</t>
        </is>
      </c>
      <c r="C485" t="inlineStr">
        <is>
          <t>0                      PJ 4567000M  23          1979</t>
        </is>
      </c>
      <c r="D485" t="inlineStr">
        <is>
          <t>Biblical Hebrew steb by step / Menahem Mansoor.</t>
        </is>
      </c>
      <c r="E485" t="inlineStr">
        <is>
          <t>V. 2</t>
        </is>
      </c>
      <c r="F485" t="inlineStr">
        <is>
          <t>Yes</t>
        </is>
      </c>
      <c r="G485" t="inlineStr">
        <is>
          <t>1</t>
        </is>
      </c>
      <c r="H485" t="inlineStr">
        <is>
          <t>No</t>
        </is>
      </c>
      <c r="I485" t="inlineStr">
        <is>
          <t>No</t>
        </is>
      </c>
      <c r="J485" t="inlineStr">
        <is>
          <t>0</t>
        </is>
      </c>
      <c r="K485" t="inlineStr">
        <is>
          <t>Mansoor, Menahem.</t>
        </is>
      </c>
      <c r="L485" t="inlineStr">
        <is>
          <t>Grand Rapids, Mich., Baker Book House, 1979-84.</t>
        </is>
      </c>
      <c r="M485" t="inlineStr">
        <is>
          <t>1979</t>
        </is>
      </c>
      <c r="N485" t="inlineStr">
        <is>
          <t>2nd ed.</t>
        </is>
      </c>
      <c r="O485" t="inlineStr">
        <is>
          <t>heb</t>
        </is>
      </c>
      <c r="P485" t="inlineStr">
        <is>
          <t>miu</t>
        </is>
      </c>
      <c r="R485" t="inlineStr">
        <is>
          <t xml:space="preserve">PJ </t>
        </is>
      </c>
      <c r="S485" t="n">
        <v>1</v>
      </c>
      <c r="T485" t="n">
        <v>4</v>
      </c>
      <c r="U485" t="inlineStr">
        <is>
          <t>2005-02-22</t>
        </is>
      </c>
      <c r="V485" t="inlineStr">
        <is>
          <t>2009-07-08</t>
        </is>
      </c>
      <c r="W485" t="inlineStr">
        <is>
          <t>2005-02-22</t>
        </is>
      </c>
      <c r="X485" t="inlineStr">
        <is>
          <t>2005-02-22</t>
        </is>
      </c>
      <c r="Y485" t="n">
        <v>5</v>
      </c>
      <c r="Z485" t="n">
        <v>5</v>
      </c>
      <c r="AA485" t="n">
        <v>5</v>
      </c>
      <c r="AB485" t="n">
        <v>1</v>
      </c>
      <c r="AC485" t="n">
        <v>1</v>
      </c>
      <c r="AD485" t="n">
        <v>0</v>
      </c>
      <c r="AE485" t="n">
        <v>0</v>
      </c>
      <c r="AF485" t="n">
        <v>0</v>
      </c>
      <c r="AG485" t="n">
        <v>0</v>
      </c>
      <c r="AH485" t="n">
        <v>0</v>
      </c>
      <c r="AI485" t="n">
        <v>0</v>
      </c>
      <c r="AJ485" t="n">
        <v>0</v>
      </c>
      <c r="AK485" t="n">
        <v>0</v>
      </c>
      <c r="AL485" t="n">
        <v>0</v>
      </c>
      <c r="AM485" t="n">
        <v>0</v>
      </c>
      <c r="AN485" t="n">
        <v>0</v>
      </c>
      <c r="AO485" t="n">
        <v>0</v>
      </c>
      <c r="AP485" t="inlineStr">
        <is>
          <t>No</t>
        </is>
      </c>
      <c r="AQ485" t="inlineStr">
        <is>
          <t>No</t>
        </is>
      </c>
      <c r="AS485">
        <f>HYPERLINK("https://creighton-primo.hosted.exlibrisgroup.com/primo-explore/search?tab=default_tab&amp;search_scope=EVERYTHING&amp;vid=01CRU&amp;lang=en_US&amp;offset=0&amp;query=any,contains,991004481539702656","Catalog Record")</f>
        <v/>
      </c>
      <c r="AT485">
        <f>HYPERLINK("http://www.worldcat.org/oclc/33444115","WorldCat Record")</f>
        <v/>
      </c>
      <c r="AU485" t="inlineStr">
        <is>
          <t>5218477031:heb</t>
        </is>
      </c>
      <c r="AV485" t="inlineStr">
        <is>
          <t>33444115</t>
        </is>
      </c>
      <c r="AW485" t="inlineStr">
        <is>
          <t>991004481539702656</t>
        </is>
      </c>
      <c r="AX485" t="inlineStr">
        <is>
          <t>991004481539702656</t>
        </is>
      </c>
      <c r="AY485" t="inlineStr">
        <is>
          <t>2268037380002656</t>
        </is>
      </c>
      <c r="AZ485" t="inlineStr">
        <is>
          <t>BOOK</t>
        </is>
      </c>
      <c r="BB485" t="inlineStr">
        <is>
          <t>9780801060410</t>
        </is>
      </c>
      <c r="BC485" t="inlineStr">
        <is>
          <t>32285005026884</t>
        </is>
      </c>
      <c r="BD485" t="inlineStr">
        <is>
          <t>893319290</t>
        </is>
      </c>
    </row>
    <row r="486">
      <c r="A486" t="inlineStr">
        <is>
          <t>No</t>
        </is>
      </c>
      <c r="B486" t="inlineStr">
        <is>
          <t>PJ4567 .M23 1979</t>
        </is>
      </c>
      <c r="C486" t="inlineStr">
        <is>
          <t>0                      PJ 4567000M  23          1979</t>
        </is>
      </c>
      <c r="D486" t="inlineStr">
        <is>
          <t>Biblical Hebrew steb by step / Menahem Mansoor.</t>
        </is>
      </c>
      <c r="E486" t="inlineStr">
        <is>
          <t>V. 1</t>
        </is>
      </c>
      <c r="F486" t="inlineStr">
        <is>
          <t>Yes</t>
        </is>
      </c>
      <c r="G486" t="inlineStr">
        <is>
          <t>1</t>
        </is>
      </c>
      <c r="H486" t="inlineStr">
        <is>
          <t>No</t>
        </is>
      </c>
      <c r="I486" t="inlineStr">
        <is>
          <t>No</t>
        </is>
      </c>
      <c r="J486" t="inlineStr">
        <is>
          <t>0</t>
        </is>
      </c>
      <c r="K486" t="inlineStr">
        <is>
          <t>Mansoor, Menahem.</t>
        </is>
      </c>
      <c r="L486" t="inlineStr">
        <is>
          <t>Grand Rapids, Mich., Baker Book House, 1979-84.</t>
        </is>
      </c>
      <c r="M486" t="inlineStr">
        <is>
          <t>1979</t>
        </is>
      </c>
      <c r="N486" t="inlineStr">
        <is>
          <t>2nd ed.</t>
        </is>
      </c>
      <c r="O486" t="inlineStr">
        <is>
          <t>heb</t>
        </is>
      </c>
      <c r="P486" t="inlineStr">
        <is>
          <t>miu</t>
        </is>
      </c>
      <c r="R486" t="inlineStr">
        <is>
          <t xml:space="preserve">PJ </t>
        </is>
      </c>
      <c r="S486" t="n">
        <v>3</v>
      </c>
      <c r="T486" t="n">
        <v>4</v>
      </c>
      <c r="U486" t="inlineStr">
        <is>
          <t>2009-07-08</t>
        </is>
      </c>
      <c r="V486" t="inlineStr">
        <is>
          <t>2009-07-08</t>
        </is>
      </c>
      <c r="W486" t="inlineStr">
        <is>
          <t>2005-02-22</t>
        </is>
      </c>
      <c r="X486" t="inlineStr">
        <is>
          <t>2005-02-22</t>
        </is>
      </c>
      <c r="Y486" t="n">
        <v>5</v>
      </c>
      <c r="Z486" t="n">
        <v>5</v>
      </c>
      <c r="AA486" t="n">
        <v>5</v>
      </c>
      <c r="AB486" t="n">
        <v>1</v>
      </c>
      <c r="AC486" t="n">
        <v>1</v>
      </c>
      <c r="AD486" t="n">
        <v>0</v>
      </c>
      <c r="AE486" t="n">
        <v>0</v>
      </c>
      <c r="AF486" t="n">
        <v>0</v>
      </c>
      <c r="AG486" t="n">
        <v>0</v>
      </c>
      <c r="AH486" t="n">
        <v>0</v>
      </c>
      <c r="AI486" t="n">
        <v>0</v>
      </c>
      <c r="AJ486" t="n">
        <v>0</v>
      </c>
      <c r="AK486" t="n">
        <v>0</v>
      </c>
      <c r="AL486" t="n">
        <v>0</v>
      </c>
      <c r="AM486" t="n">
        <v>0</v>
      </c>
      <c r="AN486" t="n">
        <v>0</v>
      </c>
      <c r="AO486" t="n">
        <v>0</v>
      </c>
      <c r="AP486" t="inlineStr">
        <is>
          <t>No</t>
        </is>
      </c>
      <c r="AQ486" t="inlineStr">
        <is>
          <t>No</t>
        </is>
      </c>
      <c r="AS486">
        <f>HYPERLINK("https://creighton-primo.hosted.exlibrisgroup.com/primo-explore/search?tab=default_tab&amp;search_scope=EVERYTHING&amp;vid=01CRU&amp;lang=en_US&amp;offset=0&amp;query=any,contains,991004481539702656","Catalog Record")</f>
        <v/>
      </c>
      <c r="AT486">
        <f>HYPERLINK("http://www.worldcat.org/oclc/33444115","WorldCat Record")</f>
        <v/>
      </c>
      <c r="AU486" t="inlineStr">
        <is>
          <t>5218477031:heb</t>
        </is>
      </c>
      <c r="AV486" t="inlineStr">
        <is>
          <t>33444115</t>
        </is>
      </c>
      <c r="AW486" t="inlineStr">
        <is>
          <t>991004481539702656</t>
        </is>
      </c>
      <c r="AX486" t="inlineStr">
        <is>
          <t>991004481539702656</t>
        </is>
      </c>
      <c r="AY486" t="inlineStr">
        <is>
          <t>2268037380002656</t>
        </is>
      </c>
      <c r="AZ486" t="inlineStr">
        <is>
          <t>BOOK</t>
        </is>
      </c>
      <c r="BB486" t="inlineStr">
        <is>
          <t>9780801060410</t>
        </is>
      </c>
      <c r="BC486" t="inlineStr">
        <is>
          <t>32285005026876</t>
        </is>
      </c>
      <c r="BD486" t="inlineStr">
        <is>
          <t>893337791</t>
        </is>
      </c>
    </row>
    <row r="487">
      <c r="A487" t="inlineStr">
        <is>
          <t>No</t>
        </is>
      </c>
      <c r="B487" t="inlineStr">
        <is>
          <t>PJ4567 .R6 1966</t>
        </is>
      </c>
      <c r="C487" t="inlineStr">
        <is>
          <t>0                      PJ 4567000R  6           1966</t>
        </is>
      </c>
      <c r="D487" t="inlineStr">
        <is>
          <t>A textbook of Israeli Hebrew, with an introduction to the classical language / Haiim B. Rosén.</t>
        </is>
      </c>
      <c r="F487" t="inlineStr">
        <is>
          <t>No</t>
        </is>
      </c>
      <c r="G487" t="inlineStr">
        <is>
          <t>1</t>
        </is>
      </c>
      <c r="H487" t="inlineStr">
        <is>
          <t>No</t>
        </is>
      </c>
      <c r="I487" t="inlineStr">
        <is>
          <t>No</t>
        </is>
      </c>
      <c r="J487" t="inlineStr">
        <is>
          <t>0</t>
        </is>
      </c>
      <c r="K487" t="inlineStr">
        <is>
          <t>Rosén, Haiim B., 1922-1999.</t>
        </is>
      </c>
      <c r="L487" t="inlineStr">
        <is>
          <t>Chicago : University of Chicago Press [1966]</t>
        </is>
      </c>
      <c r="M487" t="inlineStr">
        <is>
          <t>1966</t>
        </is>
      </c>
      <c r="N487" t="inlineStr">
        <is>
          <t>2d. corrected ed.</t>
        </is>
      </c>
      <c r="O487" t="inlineStr">
        <is>
          <t>eng</t>
        </is>
      </c>
      <c r="P487" t="inlineStr">
        <is>
          <t>ilu</t>
        </is>
      </c>
      <c r="R487" t="inlineStr">
        <is>
          <t xml:space="preserve">PJ </t>
        </is>
      </c>
      <c r="S487" t="n">
        <v>3</v>
      </c>
      <c r="T487" t="n">
        <v>3</v>
      </c>
      <c r="U487" t="inlineStr">
        <is>
          <t>2007-03-22</t>
        </is>
      </c>
      <c r="V487" t="inlineStr">
        <is>
          <t>2007-03-22</t>
        </is>
      </c>
      <c r="W487" t="inlineStr">
        <is>
          <t>1990-04-20</t>
        </is>
      </c>
      <c r="X487" t="inlineStr">
        <is>
          <t>1990-04-20</t>
        </is>
      </c>
      <c r="Y487" t="n">
        <v>72</v>
      </c>
      <c r="Z487" t="n">
        <v>59</v>
      </c>
      <c r="AA487" t="n">
        <v>454</v>
      </c>
      <c r="AB487" t="n">
        <v>1</v>
      </c>
      <c r="AC487" t="n">
        <v>4</v>
      </c>
      <c r="AD487" t="n">
        <v>1</v>
      </c>
      <c r="AE487" t="n">
        <v>15</v>
      </c>
      <c r="AF487" t="n">
        <v>1</v>
      </c>
      <c r="AG487" t="n">
        <v>3</v>
      </c>
      <c r="AH487" t="n">
        <v>0</v>
      </c>
      <c r="AI487" t="n">
        <v>3</v>
      </c>
      <c r="AJ487" t="n">
        <v>1</v>
      </c>
      <c r="AK487" t="n">
        <v>11</v>
      </c>
      <c r="AL487" t="n">
        <v>0</v>
      </c>
      <c r="AM487" t="n">
        <v>2</v>
      </c>
      <c r="AN487" t="n">
        <v>0</v>
      </c>
      <c r="AO487" t="n">
        <v>0</v>
      </c>
      <c r="AP487" t="inlineStr">
        <is>
          <t>No</t>
        </is>
      </c>
      <c r="AQ487" t="inlineStr">
        <is>
          <t>No</t>
        </is>
      </c>
      <c r="AS487">
        <f>HYPERLINK("https://creighton-primo.hosted.exlibrisgroup.com/primo-explore/search?tab=default_tab&amp;search_scope=EVERYTHING&amp;vid=01CRU&amp;lang=en_US&amp;offset=0&amp;query=any,contains,991004879349702656","Catalog Record")</f>
        <v/>
      </c>
      <c r="AT487">
        <f>HYPERLINK("http://www.worldcat.org/oclc/5806666","WorldCat Record")</f>
        <v/>
      </c>
      <c r="AU487" t="inlineStr">
        <is>
          <t>149351036:eng</t>
        </is>
      </c>
      <c r="AV487" t="inlineStr">
        <is>
          <t>5806666</t>
        </is>
      </c>
      <c r="AW487" t="inlineStr">
        <is>
          <t>991004879349702656</t>
        </is>
      </c>
      <c r="AX487" t="inlineStr">
        <is>
          <t>991004879349702656</t>
        </is>
      </c>
      <c r="AY487" t="inlineStr">
        <is>
          <t>2261154170002656</t>
        </is>
      </c>
      <c r="AZ487" t="inlineStr">
        <is>
          <t>BOOK</t>
        </is>
      </c>
      <c r="BC487" t="inlineStr">
        <is>
          <t>32285000124353</t>
        </is>
      </c>
      <c r="BD487" t="inlineStr">
        <is>
          <t>893338230</t>
        </is>
      </c>
    </row>
    <row r="488">
      <c r="A488" t="inlineStr">
        <is>
          <t>No</t>
        </is>
      </c>
      <c r="B488" t="inlineStr">
        <is>
          <t>PJ4567 .R66 2001</t>
        </is>
      </c>
      <c r="C488" t="inlineStr">
        <is>
          <t>0                      PJ 4567000R  66          2001</t>
        </is>
      </c>
      <c r="D488" t="inlineStr">
        <is>
          <t>Introducing Biblical Hebrew / Allen P. Ross.</t>
        </is>
      </c>
      <c r="F488" t="inlineStr">
        <is>
          <t>No</t>
        </is>
      </c>
      <c r="G488" t="inlineStr">
        <is>
          <t>1</t>
        </is>
      </c>
      <c r="H488" t="inlineStr">
        <is>
          <t>No</t>
        </is>
      </c>
      <c r="I488" t="inlineStr">
        <is>
          <t>No</t>
        </is>
      </c>
      <c r="J488" t="inlineStr">
        <is>
          <t>0</t>
        </is>
      </c>
      <c r="K488" t="inlineStr">
        <is>
          <t>Ross, Allen P.</t>
        </is>
      </c>
      <c r="L488" t="inlineStr">
        <is>
          <t>Grand Rapids, MI : Baker Academic, 2001.</t>
        </is>
      </c>
      <c r="M488" t="inlineStr">
        <is>
          <t>2001</t>
        </is>
      </c>
      <c r="O488" t="inlineStr">
        <is>
          <t>eng</t>
        </is>
      </c>
      <c r="P488" t="inlineStr">
        <is>
          <t>miu</t>
        </is>
      </c>
      <c r="R488" t="inlineStr">
        <is>
          <t xml:space="preserve">PJ </t>
        </is>
      </c>
      <c r="S488" t="n">
        <v>8</v>
      </c>
      <c r="T488" t="n">
        <v>8</v>
      </c>
      <c r="U488" t="inlineStr">
        <is>
          <t>2007-01-02</t>
        </is>
      </c>
      <c r="V488" t="inlineStr">
        <is>
          <t>2007-01-02</t>
        </is>
      </c>
      <c r="W488" t="inlineStr">
        <is>
          <t>2004-07-13</t>
        </is>
      </c>
      <c r="X488" t="inlineStr">
        <is>
          <t>2004-07-13</t>
        </is>
      </c>
      <c r="Y488" t="n">
        <v>321</v>
      </c>
      <c r="Z488" t="n">
        <v>254</v>
      </c>
      <c r="AA488" t="n">
        <v>255</v>
      </c>
      <c r="AB488" t="n">
        <v>2</v>
      </c>
      <c r="AC488" t="n">
        <v>2</v>
      </c>
      <c r="AD488" t="n">
        <v>11</v>
      </c>
      <c r="AE488" t="n">
        <v>11</v>
      </c>
      <c r="AF488" t="n">
        <v>4</v>
      </c>
      <c r="AG488" t="n">
        <v>4</v>
      </c>
      <c r="AH488" t="n">
        <v>5</v>
      </c>
      <c r="AI488" t="n">
        <v>5</v>
      </c>
      <c r="AJ488" t="n">
        <v>3</v>
      </c>
      <c r="AK488" t="n">
        <v>3</v>
      </c>
      <c r="AL488" t="n">
        <v>1</v>
      </c>
      <c r="AM488" t="n">
        <v>1</v>
      </c>
      <c r="AN488" t="n">
        <v>0</v>
      </c>
      <c r="AO488" t="n">
        <v>0</v>
      </c>
      <c r="AP488" t="inlineStr">
        <is>
          <t>No</t>
        </is>
      </c>
      <c r="AQ488" t="inlineStr">
        <is>
          <t>No</t>
        </is>
      </c>
      <c r="AS488">
        <f>HYPERLINK("https://creighton-primo.hosted.exlibrisgroup.com/primo-explore/search?tab=default_tab&amp;search_scope=EVERYTHING&amp;vid=01CRU&amp;lang=en_US&amp;offset=0&amp;query=any,contains,991004321749702656","Catalog Record")</f>
        <v/>
      </c>
      <c r="AT488">
        <f>HYPERLINK("http://www.worldcat.org/oclc/45804977","WorldCat Record")</f>
        <v/>
      </c>
      <c r="AU488" t="inlineStr">
        <is>
          <t>50537:eng</t>
        </is>
      </c>
      <c r="AV488" t="inlineStr">
        <is>
          <t>45804977</t>
        </is>
      </c>
      <c r="AW488" t="inlineStr">
        <is>
          <t>991004321749702656</t>
        </is>
      </c>
      <c r="AX488" t="inlineStr">
        <is>
          <t>991004321749702656</t>
        </is>
      </c>
      <c r="AY488" t="inlineStr">
        <is>
          <t>2257946940002656</t>
        </is>
      </c>
      <c r="AZ488" t="inlineStr">
        <is>
          <t>BOOK</t>
        </is>
      </c>
      <c r="BB488" t="inlineStr">
        <is>
          <t>9780801021473</t>
        </is>
      </c>
      <c r="BC488" t="inlineStr">
        <is>
          <t>32285004923354</t>
        </is>
      </c>
      <c r="BD488" t="inlineStr">
        <is>
          <t>893888561</t>
        </is>
      </c>
    </row>
    <row r="489">
      <c r="A489" t="inlineStr">
        <is>
          <t>No</t>
        </is>
      </c>
      <c r="B489" t="inlineStr">
        <is>
          <t>PJ4567 .W4 1959</t>
        </is>
      </c>
      <c r="C489" t="inlineStr">
        <is>
          <t>0                      PJ 4567000W  4           1959</t>
        </is>
      </c>
      <c r="D489" t="inlineStr">
        <is>
          <t>A practical grammar for classical Hebrew.</t>
        </is>
      </c>
      <c r="F489" t="inlineStr">
        <is>
          <t>No</t>
        </is>
      </c>
      <c r="G489" t="inlineStr">
        <is>
          <t>1</t>
        </is>
      </c>
      <c r="H489" t="inlineStr">
        <is>
          <t>No</t>
        </is>
      </c>
      <c r="I489" t="inlineStr">
        <is>
          <t>No</t>
        </is>
      </c>
      <c r="J489" t="inlineStr">
        <is>
          <t>0</t>
        </is>
      </c>
      <c r="K489" t="inlineStr">
        <is>
          <t>Weingreen, J. (Jacob)</t>
        </is>
      </c>
      <c r="L489" t="inlineStr">
        <is>
          <t>Oxford : Clarendon Press, 1959.</t>
        </is>
      </c>
      <c r="M489" t="inlineStr">
        <is>
          <t>1959</t>
        </is>
      </c>
      <c r="N489" t="inlineStr">
        <is>
          <t>2d ed.</t>
        </is>
      </c>
      <c r="O489" t="inlineStr">
        <is>
          <t>eng</t>
        </is>
      </c>
      <c r="P489" t="inlineStr">
        <is>
          <t>enk</t>
        </is>
      </c>
      <c r="R489" t="inlineStr">
        <is>
          <t xml:space="preserve">PJ </t>
        </is>
      </c>
      <c r="S489" t="n">
        <v>7</v>
      </c>
      <c r="T489" t="n">
        <v>7</v>
      </c>
      <c r="U489" t="inlineStr">
        <is>
          <t>1995-12-04</t>
        </is>
      </c>
      <c r="V489" t="inlineStr">
        <is>
          <t>1995-12-04</t>
        </is>
      </c>
      <c r="W489" t="inlineStr">
        <is>
          <t>1993-07-09</t>
        </is>
      </c>
      <c r="X489" t="inlineStr">
        <is>
          <t>1993-07-09</t>
        </is>
      </c>
      <c r="Y489" t="n">
        <v>831</v>
      </c>
      <c r="Z489" t="n">
        <v>663</v>
      </c>
      <c r="AA489" t="n">
        <v>770</v>
      </c>
      <c r="AB489" t="n">
        <v>8</v>
      </c>
      <c r="AC489" t="n">
        <v>9</v>
      </c>
      <c r="AD489" t="n">
        <v>34</v>
      </c>
      <c r="AE489" t="n">
        <v>40</v>
      </c>
      <c r="AF489" t="n">
        <v>12</v>
      </c>
      <c r="AG489" t="n">
        <v>15</v>
      </c>
      <c r="AH489" t="n">
        <v>8</v>
      </c>
      <c r="AI489" t="n">
        <v>8</v>
      </c>
      <c r="AJ489" t="n">
        <v>18</v>
      </c>
      <c r="AK489" t="n">
        <v>23</v>
      </c>
      <c r="AL489" t="n">
        <v>5</v>
      </c>
      <c r="AM489" t="n">
        <v>5</v>
      </c>
      <c r="AN489" t="n">
        <v>0</v>
      </c>
      <c r="AO489" t="n">
        <v>0</v>
      </c>
      <c r="AP489" t="inlineStr">
        <is>
          <t>No</t>
        </is>
      </c>
      <c r="AQ489" t="inlineStr">
        <is>
          <t>No</t>
        </is>
      </c>
      <c r="AS489">
        <f>HYPERLINK("https://creighton-primo.hosted.exlibrisgroup.com/primo-explore/search?tab=default_tab&amp;search_scope=EVERYTHING&amp;vid=01CRU&amp;lang=en_US&amp;offset=0&amp;query=any,contains,991001103809702656","Catalog Record")</f>
        <v/>
      </c>
      <c r="AT489">
        <f>HYPERLINK("http://www.worldcat.org/oclc/183640","WorldCat Record")</f>
        <v/>
      </c>
      <c r="AU489" t="inlineStr">
        <is>
          <t>4925676303:eng</t>
        </is>
      </c>
      <c r="AV489" t="inlineStr">
        <is>
          <t>183640</t>
        </is>
      </c>
      <c r="AW489" t="inlineStr">
        <is>
          <t>991001103809702656</t>
        </is>
      </c>
      <c r="AX489" t="inlineStr">
        <is>
          <t>991001103809702656</t>
        </is>
      </c>
      <c r="AY489" t="inlineStr">
        <is>
          <t>2267022950002656</t>
        </is>
      </c>
      <c r="AZ489" t="inlineStr">
        <is>
          <t>BOOK</t>
        </is>
      </c>
      <c r="BC489" t="inlineStr">
        <is>
          <t>32285001721884</t>
        </is>
      </c>
      <c r="BD489" t="inlineStr">
        <is>
          <t>893315519</t>
        </is>
      </c>
    </row>
    <row r="490">
      <c r="A490" t="inlineStr">
        <is>
          <t>No</t>
        </is>
      </c>
      <c r="B490" t="inlineStr">
        <is>
          <t>PJ4567.3 .K43 1992</t>
        </is>
      </c>
      <c r="C490" t="inlineStr">
        <is>
          <t>0                      PJ 4567300K  43          1992</t>
        </is>
      </c>
      <c r="D490" t="inlineStr">
        <is>
          <t>Biblical Hebrew : an introductory grammar / Page H. Kelley.</t>
        </is>
      </c>
      <c r="F490" t="inlineStr">
        <is>
          <t>No</t>
        </is>
      </c>
      <c r="G490" t="inlineStr">
        <is>
          <t>1</t>
        </is>
      </c>
      <c r="H490" t="inlineStr">
        <is>
          <t>No</t>
        </is>
      </c>
      <c r="I490" t="inlineStr">
        <is>
          <t>No</t>
        </is>
      </c>
      <c r="J490" t="inlineStr">
        <is>
          <t>0</t>
        </is>
      </c>
      <c r="K490" t="inlineStr">
        <is>
          <t>Kelley, Page H.</t>
        </is>
      </c>
      <c r="L490" t="inlineStr">
        <is>
          <t>Grand Rapids, Mich. : W.B. Eerdmans, c1992.</t>
        </is>
      </c>
      <c r="M490" t="inlineStr">
        <is>
          <t>1992</t>
        </is>
      </c>
      <c r="O490" t="inlineStr">
        <is>
          <t>eng</t>
        </is>
      </c>
      <c r="P490" t="inlineStr">
        <is>
          <t>miu</t>
        </is>
      </c>
      <c r="R490" t="inlineStr">
        <is>
          <t xml:space="preserve">PJ </t>
        </is>
      </c>
      <c r="S490" t="n">
        <v>5</v>
      </c>
      <c r="T490" t="n">
        <v>5</v>
      </c>
      <c r="U490" t="inlineStr">
        <is>
          <t>2007-12-02</t>
        </is>
      </c>
      <c r="V490" t="inlineStr">
        <is>
          <t>2007-12-02</t>
        </is>
      </c>
      <c r="W490" t="inlineStr">
        <is>
          <t>2005-02-22</t>
        </is>
      </c>
      <c r="X490" t="inlineStr">
        <is>
          <t>2005-02-22</t>
        </is>
      </c>
      <c r="Y490" t="n">
        <v>458</v>
      </c>
      <c r="Z490" t="n">
        <v>352</v>
      </c>
      <c r="AA490" t="n">
        <v>391</v>
      </c>
      <c r="AB490" t="n">
        <v>3</v>
      </c>
      <c r="AC490" t="n">
        <v>3</v>
      </c>
      <c r="AD490" t="n">
        <v>11</v>
      </c>
      <c r="AE490" t="n">
        <v>13</v>
      </c>
      <c r="AF490" t="n">
        <v>7</v>
      </c>
      <c r="AG490" t="n">
        <v>7</v>
      </c>
      <c r="AH490" t="n">
        <v>2</v>
      </c>
      <c r="AI490" t="n">
        <v>4</v>
      </c>
      <c r="AJ490" t="n">
        <v>4</v>
      </c>
      <c r="AK490" t="n">
        <v>4</v>
      </c>
      <c r="AL490" t="n">
        <v>1</v>
      </c>
      <c r="AM490" t="n">
        <v>1</v>
      </c>
      <c r="AN490" t="n">
        <v>0</v>
      </c>
      <c r="AO490" t="n">
        <v>0</v>
      </c>
      <c r="AP490" t="inlineStr">
        <is>
          <t>No</t>
        </is>
      </c>
      <c r="AQ490" t="inlineStr">
        <is>
          <t>Yes</t>
        </is>
      </c>
      <c r="AR490">
        <f>HYPERLINK("http://catalog.hathitrust.org/Record/002725979","HathiTrust Record")</f>
        <v/>
      </c>
      <c r="AS490">
        <f>HYPERLINK("https://creighton-primo.hosted.exlibrisgroup.com/primo-explore/search?tab=default_tab&amp;search_scope=EVERYTHING&amp;vid=01CRU&amp;lang=en_US&amp;offset=0&amp;query=any,contains,991004481499702656","Catalog Record")</f>
        <v/>
      </c>
      <c r="AT490">
        <f>HYPERLINK("http://www.worldcat.org/oclc/25508780","WorldCat Record")</f>
        <v/>
      </c>
      <c r="AU490" t="inlineStr">
        <is>
          <t>3943541344:eng</t>
        </is>
      </c>
      <c r="AV490" t="inlineStr">
        <is>
          <t>25508780</t>
        </is>
      </c>
      <c r="AW490" t="inlineStr">
        <is>
          <t>991004481499702656</t>
        </is>
      </c>
      <c r="AX490" t="inlineStr">
        <is>
          <t>991004481499702656</t>
        </is>
      </c>
      <c r="AY490" t="inlineStr">
        <is>
          <t>2272320270002656</t>
        </is>
      </c>
      <c r="AZ490" t="inlineStr">
        <is>
          <t>BOOK</t>
        </is>
      </c>
      <c r="BB490" t="inlineStr">
        <is>
          <t>9780802805980</t>
        </is>
      </c>
      <c r="BC490" t="inlineStr">
        <is>
          <t>32285005026850</t>
        </is>
      </c>
      <c r="BD490" t="inlineStr">
        <is>
          <t>893895048</t>
        </is>
      </c>
    </row>
    <row r="491">
      <c r="A491" t="inlineStr">
        <is>
          <t>No</t>
        </is>
      </c>
      <c r="B491" t="inlineStr">
        <is>
          <t>PJ4592 .W4</t>
        </is>
      </c>
      <c r="C491" t="inlineStr">
        <is>
          <t>0                      PJ 4592000W  4</t>
        </is>
      </c>
      <c r="D491" t="inlineStr">
        <is>
          <t>Essays on the ancient Semitic world; edited by J. W. Wevers and D. B. Redford.</t>
        </is>
      </c>
      <c r="F491" t="inlineStr">
        <is>
          <t>No</t>
        </is>
      </c>
      <c r="G491" t="inlineStr">
        <is>
          <t>1</t>
        </is>
      </c>
      <c r="H491" t="inlineStr">
        <is>
          <t>No</t>
        </is>
      </c>
      <c r="I491" t="inlineStr">
        <is>
          <t>No</t>
        </is>
      </c>
      <c r="J491" t="inlineStr">
        <is>
          <t>0</t>
        </is>
      </c>
      <c r="K491" t="inlineStr">
        <is>
          <t>Wevers, John William.</t>
        </is>
      </c>
      <c r="L491" t="inlineStr">
        <is>
          <t>[Toronto] University of Toronto Press [1970]</t>
        </is>
      </c>
      <c r="M491" t="inlineStr">
        <is>
          <t>1970</t>
        </is>
      </c>
      <c r="O491" t="inlineStr">
        <is>
          <t>eng</t>
        </is>
      </c>
      <c r="P491" t="inlineStr">
        <is>
          <t>onc</t>
        </is>
      </c>
      <c r="Q491" t="inlineStr">
        <is>
          <t>Toronto Semitic texts and studies</t>
        </is>
      </c>
      <c r="R491" t="inlineStr">
        <is>
          <t xml:space="preserve">PJ </t>
        </is>
      </c>
      <c r="S491" t="n">
        <v>1</v>
      </c>
      <c r="T491" t="n">
        <v>1</v>
      </c>
      <c r="U491" t="inlineStr">
        <is>
          <t>1998-09-13</t>
        </is>
      </c>
      <c r="V491" t="inlineStr">
        <is>
          <t>1998-09-13</t>
        </is>
      </c>
      <c r="W491" t="inlineStr">
        <is>
          <t>1997-09-11</t>
        </is>
      </c>
      <c r="X491" t="inlineStr">
        <is>
          <t>1997-09-11</t>
        </is>
      </c>
      <c r="Y491" t="n">
        <v>460</v>
      </c>
      <c r="Z491" t="n">
        <v>348</v>
      </c>
      <c r="AA491" t="n">
        <v>355</v>
      </c>
      <c r="AB491" t="n">
        <v>2</v>
      </c>
      <c r="AC491" t="n">
        <v>2</v>
      </c>
      <c r="AD491" t="n">
        <v>10</v>
      </c>
      <c r="AE491" t="n">
        <v>10</v>
      </c>
      <c r="AF491" t="n">
        <v>1</v>
      </c>
      <c r="AG491" t="n">
        <v>1</v>
      </c>
      <c r="AH491" t="n">
        <v>4</v>
      </c>
      <c r="AI491" t="n">
        <v>4</v>
      </c>
      <c r="AJ491" t="n">
        <v>5</v>
      </c>
      <c r="AK491" t="n">
        <v>5</v>
      </c>
      <c r="AL491" t="n">
        <v>1</v>
      </c>
      <c r="AM491" t="n">
        <v>1</v>
      </c>
      <c r="AN491" t="n">
        <v>0</v>
      </c>
      <c r="AO491" t="n">
        <v>0</v>
      </c>
      <c r="AP491" t="inlineStr">
        <is>
          <t>No</t>
        </is>
      </c>
      <c r="AQ491" t="inlineStr">
        <is>
          <t>Yes</t>
        </is>
      </c>
      <c r="AR491">
        <f>HYPERLINK("http://catalog.hathitrust.org/Record/000982122","HathiTrust Record")</f>
        <v/>
      </c>
      <c r="AS491">
        <f>HYPERLINK("https://creighton-primo.hosted.exlibrisgroup.com/primo-explore/search?tab=default_tab&amp;search_scope=EVERYTHING&amp;vid=01CRU&amp;lang=en_US&amp;offset=0&amp;query=any,contains,991000783229702656","Catalog Record")</f>
        <v/>
      </c>
      <c r="AT491">
        <f>HYPERLINK("http://www.worldcat.org/oclc/135741","WorldCat Record")</f>
        <v/>
      </c>
      <c r="AU491" t="inlineStr">
        <is>
          <t>350372640:eng</t>
        </is>
      </c>
      <c r="AV491" t="inlineStr">
        <is>
          <t>135741</t>
        </is>
      </c>
      <c r="AW491" t="inlineStr">
        <is>
          <t>991000783229702656</t>
        </is>
      </c>
      <c r="AX491" t="inlineStr">
        <is>
          <t>991000783229702656</t>
        </is>
      </c>
      <c r="AY491" t="inlineStr">
        <is>
          <t>2263358710002656</t>
        </is>
      </c>
      <c r="AZ491" t="inlineStr">
        <is>
          <t>BOOK</t>
        </is>
      </c>
      <c r="BB491" t="inlineStr">
        <is>
          <t>9780802016034</t>
        </is>
      </c>
      <c r="BC491" t="inlineStr">
        <is>
          <t>32285003222618</t>
        </is>
      </c>
      <c r="BD491" t="inlineStr">
        <is>
          <t>893407506</t>
        </is>
      </c>
    </row>
    <row r="492">
      <c r="A492" t="inlineStr">
        <is>
          <t>No</t>
        </is>
      </c>
      <c r="B492" t="inlineStr">
        <is>
          <t>PJ4701 .D28 1902</t>
        </is>
      </c>
      <c r="C492" t="inlineStr">
        <is>
          <t>0                      PJ 4701000D  28          1902</t>
        </is>
      </c>
      <c r="D492" t="inlineStr">
        <is>
          <t>Hebrew syntax / by A.B. Davidson.</t>
        </is>
      </c>
      <c r="F492" t="inlineStr">
        <is>
          <t>No</t>
        </is>
      </c>
      <c r="G492" t="inlineStr">
        <is>
          <t>1</t>
        </is>
      </c>
      <c r="H492" t="inlineStr">
        <is>
          <t>No</t>
        </is>
      </c>
      <c r="I492" t="inlineStr">
        <is>
          <t>No</t>
        </is>
      </c>
      <c r="J492" t="inlineStr">
        <is>
          <t>0</t>
        </is>
      </c>
      <c r="K492" t="inlineStr">
        <is>
          <t>Davidson, A. B. (Andrew Bruce), 1831-1902.</t>
        </is>
      </c>
      <c r="L492" t="inlineStr">
        <is>
          <t>Edinburgh : T. &amp; T. Clark, 1902.</t>
        </is>
      </c>
      <c r="M492" t="inlineStr">
        <is>
          <t>1902</t>
        </is>
      </c>
      <c r="N492" t="inlineStr">
        <is>
          <t>3rd ed.</t>
        </is>
      </c>
      <c r="O492" t="inlineStr">
        <is>
          <t>eng</t>
        </is>
      </c>
      <c r="P492" t="inlineStr">
        <is>
          <t>stk</t>
        </is>
      </c>
      <c r="R492" t="inlineStr">
        <is>
          <t xml:space="preserve">PJ </t>
        </is>
      </c>
      <c r="S492" t="n">
        <v>1</v>
      </c>
      <c r="T492" t="n">
        <v>1</v>
      </c>
      <c r="U492" t="inlineStr">
        <is>
          <t>2005-02-22</t>
        </is>
      </c>
      <c r="V492" t="inlineStr">
        <is>
          <t>2005-02-22</t>
        </is>
      </c>
      <c r="W492" t="inlineStr">
        <is>
          <t>2005-02-22</t>
        </is>
      </c>
      <c r="X492" t="inlineStr">
        <is>
          <t>2005-02-22</t>
        </is>
      </c>
      <c r="Y492" t="n">
        <v>201</v>
      </c>
      <c r="Z492" t="n">
        <v>140</v>
      </c>
      <c r="AA492" t="n">
        <v>273</v>
      </c>
      <c r="AB492" t="n">
        <v>3</v>
      </c>
      <c r="AC492" t="n">
        <v>5</v>
      </c>
      <c r="AD492" t="n">
        <v>3</v>
      </c>
      <c r="AE492" t="n">
        <v>14</v>
      </c>
      <c r="AF492" t="n">
        <v>0</v>
      </c>
      <c r="AG492" t="n">
        <v>4</v>
      </c>
      <c r="AH492" t="n">
        <v>0</v>
      </c>
      <c r="AI492" t="n">
        <v>2</v>
      </c>
      <c r="AJ492" t="n">
        <v>2</v>
      </c>
      <c r="AK492" t="n">
        <v>6</v>
      </c>
      <c r="AL492" t="n">
        <v>1</v>
      </c>
      <c r="AM492" t="n">
        <v>3</v>
      </c>
      <c r="AN492" t="n">
        <v>0</v>
      </c>
      <c r="AO492" t="n">
        <v>0</v>
      </c>
      <c r="AP492" t="inlineStr">
        <is>
          <t>Yes</t>
        </is>
      </c>
      <c r="AQ492" t="inlineStr">
        <is>
          <t>No</t>
        </is>
      </c>
      <c r="AR492">
        <f>HYPERLINK("http://catalog.hathitrust.org/Record/100638904","HathiTrust Record")</f>
        <v/>
      </c>
      <c r="AS492">
        <f>HYPERLINK("https://creighton-primo.hosted.exlibrisgroup.com/primo-explore/search?tab=default_tab&amp;search_scope=EVERYTHING&amp;vid=01CRU&amp;lang=en_US&amp;offset=0&amp;query=any,contains,991004481409702656","Catalog Record")</f>
        <v/>
      </c>
      <c r="AT492">
        <f>HYPERLINK("http://www.worldcat.org/oclc/14269105","WorldCat Record")</f>
        <v/>
      </c>
      <c r="AU492" t="inlineStr">
        <is>
          <t>4919320929:eng</t>
        </is>
      </c>
      <c r="AV492" t="inlineStr">
        <is>
          <t>14269105</t>
        </is>
      </c>
      <c r="AW492" t="inlineStr">
        <is>
          <t>991004481409702656</t>
        </is>
      </c>
      <c r="AX492" t="inlineStr">
        <is>
          <t>991004481409702656</t>
        </is>
      </c>
      <c r="AY492" t="inlineStr">
        <is>
          <t>2269142040002656</t>
        </is>
      </c>
      <c r="AZ492" t="inlineStr">
        <is>
          <t>BOOK</t>
        </is>
      </c>
      <c r="BC492" t="inlineStr">
        <is>
          <t>32285005026868</t>
        </is>
      </c>
      <c r="BD492" t="inlineStr">
        <is>
          <t>893901274</t>
        </is>
      </c>
    </row>
    <row r="493">
      <c r="A493" t="inlineStr">
        <is>
          <t>No</t>
        </is>
      </c>
      <c r="B493" t="inlineStr">
        <is>
          <t>PJ4833 .G4 1979</t>
        </is>
      </c>
      <c r="C493" t="inlineStr">
        <is>
          <t>0                      PJ 4833000G  4           1979</t>
        </is>
      </c>
      <c r="D493" t="inlineStr">
        <is>
          <t>Gesenius' Hebrew and Chaldee lexicon to the Old Testament Scriptures : numerically coded to Strong's Exhaustive concordance, with an English index of more than 12,000 entries / translated by Samuel Prideaux Tregelles.</t>
        </is>
      </c>
      <c r="F493" t="inlineStr">
        <is>
          <t>No</t>
        </is>
      </c>
      <c r="G493" t="inlineStr">
        <is>
          <t>1</t>
        </is>
      </c>
      <c r="H493" t="inlineStr">
        <is>
          <t>No</t>
        </is>
      </c>
      <c r="I493" t="inlineStr">
        <is>
          <t>No</t>
        </is>
      </c>
      <c r="J493" t="inlineStr">
        <is>
          <t>0</t>
        </is>
      </c>
      <c r="K493" t="inlineStr">
        <is>
          <t>Gesenius, Wilhelm, 1786-1842.</t>
        </is>
      </c>
      <c r="L493" t="inlineStr">
        <is>
          <t>Grand Rapids : Baker Book House, c1979.</t>
        </is>
      </c>
      <c r="M493" t="inlineStr">
        <is>
          <t>1979</t>
        </is>
      </c>
      <c r="O493" t="inlineStr">
        <is>
          <t>eng</t>
        </is>
      </c>
      <c r="P493" t="inlineStr">
        <is>
          <t>miu</t>
        </is>
      </c>
      <c r="R493" t="inlineStr">
        <is>
          <t xml:space="preserve">PJ </t>
        </is>
      </c>
      <c r="S493" t="n">
        <v>4</v>
      </c>
      <c r="T493" t="n">
        <v>4</v>
      </c>
      <c r="U493" t="inlineStr">
        <is>
          <t>2009-06-15</t>
        </is>
      </c>
      <c r="V493" t="inlineStr">
        <is>
          <t>2009-06-15</t>
        </is>
      </c>
      <c r="W493" t="inlineStr">
        <is>
          <t>1996-07-22</t>
        </is>
      </c>
      <c r="X493" t="inlineStr">
        <is>
          <t>1996-07-22</t>
        </is>
      </c>
      <c r="Y493" t="n">
        <v>191</v>
      </c>
      <c r="Z493" t="n">
        <v>164</v>
      </c>
      <c r="AA493" t="n">
        <v>385</v>
      </c>
      <c r="AB493" t="n">
        <v>1</v>
      </c>
      <c r="AC493" t="n">
        <v>4</v>
      </c>
      <c r="AD493" t="n">
        <v>5</v>
      </c>
      <c r="AE493" t="n">
        <v>14</v>
      </c>
      <c r="AF493" t="n">
        <v>3</v>
      </c>
      <c r="AG493" t="n">
        <v>8</v>
      </c>
      <c r="AH493" t="n">
        <v>1</v>
      </c>
      <c r="AI493" t="n">
        <v>2</v>
      </c>
      <c r="AJ493" t="n">
        <v>2</v>
      </c>
      <c r="AK493" t="n">
        <v>5</v>
      </c>
      <c r="AL493" t="n">
        <v>0</v>
      </c>
      <c r="AM493" t="n">
        <v>1</v>
      </c>
      <c r="AN493" t="n">
        <v>0</v>
      </c>
      <c r="AO493" t="n">
        <v>0</v>
      </c>
      <c r="AP493" t="inlineStr">
        <is>
          <t>No</t>
        </is>
      </c>
      <c r="AQ493" t="inlineStr">
        <is>
          <t>Yes</t>
        </is>
      </c>
      <c r="AR493">
        <f>HYPERLINK("http://catalog.hathitrust.org/Record/101997161","HathiTrust Record")</f>
        <v/>
      </c>
      <c r="AS493">
        <f>HYPERLINK("https://creighton-primo.hosted.exlibrisgroup.com/primo-explore/search?tab=default_tab&amp;search_scope=EVERYTHING&amp;vid=01CRU&amp;lang=en_US&amp;offset=0&amp;query=any,contains,991004744879702656","Catalog Record")</f>
        <v/>
      </c>
      <c r="AT493">
        <f>HYPERLINK("http://www.worldcat.org/oclc/4907400","WorldCat Record")</f>
        <v/>
      </c>
      <c r="AU493" t="inlineStr">
        <is>
          <t>8909851081:eng</t>
        </is>
      </c>
      <c r="AV493" t="inlineStr">
        <is>
          <t>4907400</t>
        </is>
      </c>
      <c r="AW493" t="inlineStr">
        <is>
          <t>991004744879702656</t>
        </is>
      </c>
      <c r="AX493" t="inlineStr">
        <is>
          <t>991004744879702656</t>
        </is>
      </c>
      <c r="AY493" t="inlineStr">
        <is>
          <t>2258781020002656</t>
        </is>
      </c>
      <c r="AZ493" t="inlineStr">
        <is>
          <t>BOOK</t>
        </is>
      </c>
      <c r="BB493" t="inlineStr">
        <is>
          <t>9780801037368</t>
        </is>
      </c>
      <c r="BC493" t="inlineStr">
        <is>
          <t>32285002207602</t>
        </is>
      </c>
      <c r="BD493" t="inlineStr">
        <is>
          <t>893338084</t>
        </is>
      </c>
    </row>
    <row r="494">
      <c r="A494" t="inlineStr">
        <is>
          <t>No</t>
        </is>
      </c>
      <c r="B494" t="inlineStr">
        <is>
          <t>PJ4833 .H4 1975</t>
        </is>
      </c>
      <c r="C494" t="inlineStr">
        <is>
          <t>0                      PJ 4833000H  4           1975</t>
        </is>
      </c>
      <c r="D494" t="inlineStr">
        <is>
          <t>Hebrew-English lexicon of the Bible, containing all the Hebrew and Aramaic words in the Hebrew scriptures, with their meanings in English.</t>
        </is>
      </c>
      <c r="F494" t="inlineStr">
        <is>
          <t>No</t>
        </is>
      </c>
      <c r="G494" t="inlineStr">
        <is>
          <t>1</t>
        </is>
      </c>
      <c r="H494" t="inlineStr">
        <is>
          <t>No</t>
        </is>
      </c>
      <c r="I494" t="inlineStr">
        <is>
          <t>No</t>
        </is>
      </c>
      <c r="J494" t="inlineStr">
        <is>
          <t>0</t>
        </is>
      </c>
      <c r="L494" t="inlineStr">
        <is>
          <t>New York : Schocken Books, 1975.</t>
        </is>
      </c>
      <c r="M494" t="inlineStr">
        <is>
          <t>1975</t>
        </is>
      </c>
      <c r="O494" t="inlineStr">
        <is>
          <t>eng</t>
        </is>
      </c>
      <c r="P494" t="inlineStr">
        <is>
          <t>nyu</t>
        </is>
      </c>
      <c r="R494" t="inlineStr">
        <is>
          <t xml:space="preserve">PJ </t>
        </is>
      </c>
      <c r="S494" t="n">
        <v>8</v>
      </c>
      <c r="T494" t="n">
        <v>8</v>
      </c>
      <c r="U494" t="inlineStr">
        <is>
          <t>2009-06-02</t>
        </is>
      </c>
      <c r="V494" t="inlineStr">
        <is>
          <t>2009-06-02</t>
        </is>
      </c>
      <c r="W494" t="inlineStr">
        <is>
          <t>1997-09-11</t>
        </is>
      </c>
      <c r="X494" t="inlineStr">
        <is>
          <t>1997-09-11</t>
        </is>
      </c>
      <c r="Y494" t="n">
        <v>148</v>
      </c>
      <c r="Z494" t="n">
        <v>135</v>
      </c>
      <c r="AA494" t="n">
        <v>137</v>
      </c>
      <c r="AB494" t="n">
        <v>1</v>
      </c>
      <c r="AC494" t="n">
        <v>1</v>
      </c>
      <c r="AD494" t="n">
        <v>7</v>
      </c>
      <c r="AE494" t="n">
        <v>7</v>
      </c>
      <c r="AF494" t="n">
        <v>3</v>
      </c>
      <c r="AG494" t="n">
        <v>3</v>
      </c>
      <c r="AH494" t="n">
        <v>1</v>
      </c>
      <c r="AI494" t="n">
        <v>1</v>
      </c>
      <c r="AJ494" t="n">
        <v>7</v>
      </c>
      <c r="AK494" t="n">
        <v>7</v>
      </c>
      <c r="AL494" t="n">
        <v>0</v>
      </c>
      <c r="AM494" t="n">
        <v>0</v>
      </c>
      <c r="AN494" t="n">
        <v>0</v>
      </c>
      <c r="AO494" t="n">
        <v>0</v>
      </c>
      <c r="AP494" t="inlineStr">
        <is>
          <t>No</t>
        </is>
      </c>
      <c r="AQ494" t="inlineStr">
        <is>
          <t>No</t>
        </is>
      </c>
      <c r="AS494">
        <f>HYPERLINK("https://creighton-primo.hosted.exlibrisgroup.com/primo-explore/search?tab=default_tab&amp;search_scope=EVERYTHING&amp;vid=01CRU&amp;lang=en_US&amp;offset=0&amp;query=any,contains,991005357779702656","Catalog Record")</f>
        <v/>
      </c>
      <c r="AT494">
        <f>HYPERLINK("http://www.worldcat.org/oclc/1103132","WorldCat Record")</f>
        <v/>
      </c>
      <c r="AU494" t="inlineStr">
        <is>
          <t>460388:eng</t>
        </is>
      </c>
      <c r="AV494" t="inlineStr">
        <is>
          <t>1103132</t>
        </is>
      </c>
      <c r="AW494" t="inlineStr">
        <is>
          <t>991005357779702656</t>
        </is>
      </c>
      <c r="AX494" t="inlineStr">
        <is>
          <t>991005357779702656</t>
        </is>
      </c>
      <c r="AY494" t="inlineStr">
        <is>
          <t>2267409740002656</t>
        </is>
      </c>
      <c r="AZ494" t="inlineStr">
        <is>
          <t>BOOK</t>
        </is>
      </c>
      <c r="BB494" t="inlineStr">
        <is>
          <t>9780805204810</t>
        </is>
      </c>
      <c r="BC494" t="inlineStr">
        <is>
          <t>32285004287917</t>
        </is>
      </c>
      <c r="BD494" t="inlineStr">
        <is>
          <t>893527455</t>
        </is>
      </c>
    </row>
    <row r="495">
      <c r="A495" t="inlineStr">
        <is>
          <t>No</t>
        </is>
      </c>
      <c r="B495" t="inlineStr">
        <is>
          <t>PJ5008 .J48 1992</t>
        </is>
      </c>
      <c r="C495" t="inlineStr">
        <is>
          <t>0                      PJ 5008000J  48          1992</t>
        </is>
      </c>
      <c r="D495" t="inlineStr">
        <is>
          <t>The Jews : a treasury of art and literature / edited by Sharon R. Keller.</t>
        </is>
      </c>
      <c r="F495" t="inlineStr">
        <is>
          <t>No</t>
        </is>
      </c>
      <c r="G495" t="inlineStr">
        <is>
          <t>1</t>
        </is>
      </c>
      <c r="H495" t="inlineStr">
        <is>
          <t>No</t>
        </is>
      </c>
      <c r="I495" t="inlineStr">
        <is>
          <t>No</t>
        </is>
      </c>
      <c r="J495" t="inlineStr">
        <is>
          <t>0</t>
        </is>
      </c>
      <c r="L495" t="inlineStr">
        <is>
          <t>New York : H.L. Levin Associates : Distributed by Macmillan Pub. Co., c1992.</t>
        </is>
      </c>
      <c r="M495" t="inlineStr">
        <is>
          <t>1992</t>
        </is>
      </c>
      <c r="O495" t="inlineStr">
        <is>
          <t>eng</t>
        </is>
      </c>
      <c r="P495" t="inlineStr">
        <is>
          <t>nyu</t>
        </is>
      </c>
      <c r="R495" t="inlineStr">
        <is>
          <t xml:space="preserve">PJ </t>
        </is>
      </c>
      <c r="S495" t="n">
        <v>4</v>
      </c>
      <c r="T495" t="n">
        <v>4</v>
      </c>
      <c r="U495" t="inlineStr">
        <is>
          <t>1994-04-19</t>
        </is>
      </c>
      <c r="V495" t="inlineStr">
        <is>
          <t>1994-04-19</t>
        </is>
      </c>
      <c r="W495" t="inlineStr">
        <is>
          <t>1993-08-19</t>
        </is>
      </c>
      <c r="X495" t="inlineStr">
        <is>
          <t>1993-08-19</t>
        </is>
      </c>
      <c r="Y495" t="n">
        <v>302</v>
      </c>
      <c r="Z495" t="n">
        <v>278</v>
      </c>
      <c r="AA495" t="n">
        <v>405</v>
      </c>
      <c r="AB495" t="n">
        <v>3</v>
      </c>
      <c r="AC495" t="n">
        <v>3</v>
      </c>
      <c r="AD495" t="n">
        <v>8</v>
      </c>
      <c r="AE495" t="n">
        <v>11</v>
      </c>
      <c r="AF495" t="n">
        <v>2</v>
      </c>
      <c r="AG495" t="n">
        <v>4</v>
      </c>
      <c r="AH495" t="n">
        <v>2</v>
      </c>
      <c r="AI495" t="n">
        <v>3</v>
      </c>
      <c r="AJ495" t="n">
        <v>3</v>
      </c>
      <c r="AK495" t="n">
        <v>4</v>
      </c>
      <c r="AL495" t="n">
        <v>1</v>
      </c>
      <c r="AM495" t="n">
        <v>1</v>
      </c>
      <c r="AN495" t="n">
        <v>0</v>
      </c>
      <c r="AO495" t="n">
        <v>0</v>
      </c>
      <c r="AP495" t="inlineStr">
        <is>
          <t>No</t>
        </is>
      </c>
      <c r="AQ495" t="inlineStr">
        <is>
          <t>Yes</t>
        </is>
      </c>
      <c r="AR495">
        <f>HYPERLINK("http://catalog.hathitrust.org/Record/002601080","HathiTrust Record")</f>
        <v/>
      </c>
      <c r="AS495">
        <f>HYPERLINK("https://creighton-primo.hosted.exlibrisgroup.com/primo-explore/search?tab=default_tab&amp;search_scope=EVERYTHING&amp;vid=01CRU&amp;lang=en_US&amp;offset=0&amp;query=any,contains,991002091169702656","Catalog Record")</f>
        <v/>
      </c>
      <c r="AT495">
        <f>HYPERLINK("http://www.worldcat.org/oclc/26845950","WorldCat Record")</f>
        <v/>
      </c>
      <c r="AU495" t="inlineStr">
        <is>
          <t>55638193:eng</t>
        </is>
      </c>
      <c r="AV495" t="inlineStr">
        <is>
          <t>26845950</t>
        </is>
      </c>
      <c r="AW495" t="inlineStr">
        <is>
          <t>991002091169702656</t>
        </is>
      </c>
      <c r="AX495" t="inlineStr">
        <is>
          <t>991002091169702656</t>
        </is>
      </c>
      <c r="AY495" t="inlineStr">
        <is>
          <t>2266760860002656</t>
        </is>
      </c>
      <c r="AZ495" t="inlineStr">
        <is>
          <t>BOOK</t>
        </is>
      </c>
      <c r="BB495" t="inlineStr">
        <is>
          <t>9780883638927</t>
        </is>
      </c>
      <c r="BC495" t="inlineStr">
        <is>
          <t>32285001727535</t>
        </is>
      </c>
      <c r="BD495" t="inlineStr">
        <is>
          <t>893334929</t>
        </is>
      </c>
    </row>
    <row r="496">
      <c r="A496" t="inlineStr">
        <is>
          <t>No</t>
        </is>
      </c>
      <c r="B496" t="inlineStr">
        <is>
          <t>PJ5017 .A4</t>
        </is>
      </c>
      <c r="C496" t="inlineStr">
        <is>
          <t>0                      PJ 5017000A  4</t>
        </is>
      </c>
      <c r="D496" t="inlineStr">
        <is>
          <t>After the tradition; essays on modern Jewish writing.</t>
        </is>
      </c>
      <c r="F496" t="inlineStr">
        <is>
          <t>No</t>
        </is>
      </c>
      <c r="G496" t="inlineStr">
        <is>
          <t>1</t>
        </is>
      </c>
      <c r="H496" t="inlineStr">
        <is>
          <t>No</t>
        </is>
      </c>
      <c r="I496" t="inlineStr">
        <is>
          <t>No</t>
        </is>
      </c>
      <c r="J496" t="inlineStr">
        <is>
          <t>0</t>
        </is>
      </c>
      <c r="K496" t="inlineStr">
        <is>
          <t>Alter, Robert.</t>
        </is>
      </c>
      <c r="L496" t="inlineStr">
        <is>
          <t>New York, Dutton, 1969.</t>
        </is>
      </c>
      <c r="M496" t="inlineStr">
        <is>
          <t>1969</t>
        </is>
      </c>
      <c r="N496" t="inlineStr">
        <is>
          <t>[1st ed.]</t>
        </is>
      </c>
      <c r="O496" t="inlineStr">
        <is>
          <t>eng</t>
        </is>
      </c>
      <c r="P496" t="inlineStr">
        <is>
          <t>nyu</t>
        </is>
      </c>
      <c r="R496" t="inlineStr">
        <is>
          <t xml:space="preserve">PJ </t>
        </is>
      </c>
      <c r="S496" t="n">
        <v>1</v>
      </c>
      <c r="T496" t="n">
        <v>1</v>
      </c>
      <c r="U496" t="inlineStr">
        <is>
          <t>2000-10-11</t>
        </is>
      </c>
      <c r="V496" t="inlineStr">
        <is>
          <t>2000-10-11</t>
        </is>
      </c>
      <c r="W496" t="inlineStr">
        <is>
          <t>1997-09-11</t>
        </is>
      </c>
      <c r="X496" t="inlineStr">
        <is>
          <t>1997-09-11</t>
        </is>
      </c>
      <c r="Y496" t="n">
        <v>812</v>
      </c>
      <c r="Z496" t="n">
        <v>737</v>
      </c>
      <c r="AA496" t="n">
        <v>752</v>
      </c>
      <c r="AB496" t="n">
        <v>5</v>
      </c>
      <c r="AC496" t="n">
        <v>5</v>
      </c>
      <c r="AD496" t="n">
        <v>32</v>
      </c>
      <c r="AE496" t="n">
        <v>34</v>
      </c>
      <c r="AF496" t="n">
        <v>13</v>
      </c>
      <c r="AG496" t="n">
        <v>13</v>
      </c>
      <c r="AH496" t="n">
        <v>7</v>
      </c>
      <c r="AI496" t="n">
        <v>7</v>
      </c>
      <c r="AJ496" t="n">
        <v>15</v>
      </c>
      <c r="AK496" t="n">
        <v>17</v>
      </c>
      <c r="AL496" t="n">
        <v>4</v>
      </c>
      <c r="AM496" t="n">
        <v>4</v>
      </c>
      <c r="AN496" t="n">
        <v>0</v>
      </c>
      <c r="AO496" t="n">
        <v>0</v>
      </c>
      <c r="AP496" t="inlineStr">
        <is>
          <t>No</t>
        </is>
      </c>
      <c r="AQ496" t="inlineStr">
        <is>
          <t>Yes</t>
        </is>
      </c>
      <c r="AR496">
        <f>HYPERLINK("http://catalog.hathitrust.org/Record/001110499","HathiTrust Record")</f>
        <v/>
      </c>
      <c r="AS496">
        <f>HYPERLINK("https://creighton-primo.hosted.exlibrisgroup.com/primo-explore/search?tab=default_tab&amp;search_scope=EVERYTHING&amp;vid=01CRU&amp;lang=en_US&amp;offset=0&amp;query=any,contains,991001075609702656","Catalog Record")</f>
        <v/>
      </c>
      <c r="AT496">
        <f>HYPERLINK("http://www.worldcat.org/oclc/179346","WorldCat Record")</f>
        <v/>
      </c>
      <c r="AU496" t="inlineStr">
        <is>
          <t>1318878:eng</t>
        </is>
      </c>
      <c r="AV496" t="inlineStr">
        <is>
          <t>179346</t>
        </is>
      </c>
      <c r="AW496" t="inlineStr">
        <is>
          <t>991001075609702656</t>
        </is>
      </c>
      <c r="AX496" t="inlineStr">
        <is>
          <t>991001075609702656</t>
        </is>
      </c>
      <c r="AY496" t="inlineStr">
        <is>
          <t>2265124720002656</t>
        </is>
      </c>
      <c r="AZ496" t="inlineStr">
        <is>
          <t>BOOK</t>
        </is>
      </c>
      <c r="BC496" t="inlineStr">
        <is>
          <t>32285003222782</t>
        </is>
      </c>
      <c r="BD496" t="inlineStr">
        <is>
          <t>893327857</t>
        </is>
      </c>
    </row>
    <row r="497">
      <c r="A497" t="inlineStr">
        <is>
          <t>No</t>
        </is>
      </c>
      <c r="B497" t="inlineStr">
        <is>
          <t>PJ5029 .P38</t>
        </is>
      </c>
      <c r="C497" t="inlineStr">
        <is>
          <t>0                      PJ 5029000P  38</t>
        </is>
      </c>
      <c r="D497" t="inlineStr">
        <is>
          <t>Hebrew short stories; an anthology, selected by S. Y. Penueli and A. Ukhmani.</t>
        </is>
      </c>
      <c r="E497" t="inlineStr">
        <is>
          <t>V.2</t>
        </is>
      </c>
      <c r="F497" t="inlineStr">
        <is>
          <t>Yes</t>
        </is>
      </c>
      <c r="G497" t="inlineStr">
        <is>
          <t>1</t>
        </is>
      </c>
      <c r="H497" t="inlineStr">
        <is>
          <t>No</t>
        </is>
      </c>
      <c r="I497" t="inlineStr">
        <is>
          <t>No</t>
        </is>
      </c>
      <c r="J497" t="inlineStr">
        <is>
          <t>0</t>
        </is>
      </c>
      <c r="K497" t="inlineStr">
        <is>
          <t>Penueli, Shemuel Yeshayahu, 1904-1965, editor.</t>
        </is>
      </c>
      <c r="L497" t="inlineStr">
        <is>
          <t>Tel Aviv, Institute for the Translation of Hebrew Literature, 1965.</t>
        </is>
      </c>
      <c r="M497" t="inlineStr">
        <is>
          <t>1965</t>
        </is>
      </c>
      <c r="O497" t="inlineStr">
        <is>
          <t>eng</t>
        </is>
      </c>
      <c r="P497" t="inlineStr">
        <is>
          <t xml:space="preserve">is </t>
        </is>
      </c>
      <c r="R497" t="inlineStr">
        <is>
          <t xml:space="preserve">PJ </t>
        </is>
      </c>
      <c r="S497" t="n">
        <v>3</v>
      </c>
      <c r="T497" t="n">
        <v>3</v>
      </c>
      <c r="U497" t="inlineStr">
        <is>
          <t>1999-01-19</t>
        </is>
      </c>
      <c r="V497" t="inlineStr">
        <is>
          <t>1999-01-19</t>
        </is>
      </c>
      <c r="W497" t="inlineStr">
        <is>
          <t>1997-09-11</t>
        </is>
      </c>
      <c r="X497" t="inlineStr">
        <is>
          <t>1997-09-11</t>
        </is>
      </c>
      <c r="Y497" t="n">
        <v>329</v>
      </c>
      <c r="Z497" t="n">
        <v>303</v>
      </c>
      <c r="AA497" t="n">
        <v>309</v>
      </c>
      <c r="AB497" t="n">
        <v>3</v>
      </c>
      <c r="AC497" t="n">
        <v>3</v>
      </c>
      <c r="AD497" t="n">
        <v>16</v>
      </c>
      <c r="AE497" t="n">
        <v>16</v>
      </c>
      <c r="AF497" t="n">
        <v>3</v>
      </c>
      <c r="AG497" t="n">
        <v>3</v>
      </c>
      <c r="AH497" t="n">
        <v>4</v>
      </c>
      <c r="AI497" t="n">
        <v>4</v>
      </c>
      <c r="AJ497" t="n">
        <v>10</v>
      </c>
      <c r="AK497" t="n">
        <v>10</v>
      </c>
      <c r="AL497" t="n">
        <v>2</v>
      </c>
      <c r="AM497" t="n">
        <v>2</v>
      </c>
      <c r="AN497" t="n">
        <v>0</v>
      </c>
      <c r="AO497" t="n">
        <v>0</v>
      </c>
      <c r="AP497" t="inlineStr">
        <is>
          <t>No</t>
        </is>
      </c>
      <c r="AQ497" t="inlineStr">
        <is>
          <t>Yes</t>
        </is>
      </c>
      <c r="AR497">
        <f>HYPERLINK("http://catalog.hathitrust.org/Record/000290909","HathiTrust Record")</f>
        <v/>
      </c>
      <c r="AS497">
        <f>HYPERLINK("https://creighton-primo.hosted.exlibrisgroup.com/primo-explore/search?tab=default_tab&amp;search_scope=EVERYTHING&amp;vid=01CRU&amp;lang=en_US&amp;offset=0&amp;query=any,contains,991003606949702656","Catalog Record")</f>
        <v/>
      </c>
      <c r="AT497">
        <f>HYPERLINK("http://www.worldcat.org/oclc/1187767","WorldCat Record")</f>
        <v/>
      </c>
      <c r="AU497" t="inlineStr">
        <is>
          <t>350684648:eng</t>
        </is>
      </c>
      <c r="AV497" t="inlineStr">
        <is>
          <t>1187767</t>
        </is>
      </c>
      <c r="AW497" t="inlineStr">
        <is>
          <t>991003606949702656</t>
        </is>
      </c>
      <c r="AX497" t="inlineStr">
        <is>
          <t>991003606949702656</t>
        </is>
      </c>
      <c r="AY497" t="inlineStr">
        <is>
          <t>2263026100002656</t>
        </is>
      </c>
      <c r="AZ497" t="inlineStr">
        <is>
          <t>BOOK</t>
        </is>
      </c>
      <c r="BC497" t="inlineStr">
        <is>
          <t>32285003222816</t>
        </is>
      </c>
      <c r="BD497" t="inlineStr">
        <is>
          <t>893592680</t>
        </is>
      </c>
    </row>
    <row r="498">
      <c r="A498" t="inlineStr">
        <is>
          <t>No</t>
        </is>
      </c>
      <c r="B498" t="inlineStr">
        <is>
          <t>PJ5029 .P38</t>
        </is>
      </c>
      <c r="C498" t="inlineStr">
        <is>
          <t>0                      PJ 5029000P  38</t>
        </is>
      </c>
      <c r="D498" t="inlineStr">
        <is>
          <t>Hebrew short stories; an anthology, selected by S. Y. Penueli and A. Ukhmani.</t>
        </is>
      </c>
      <c r="E498" t="inlineStr">
        <is>
          <t>V.1</t>
        </is>
      </c>
      <c r="F498" t="inlineStr">
        <is>
          <t>Yes</t>
        </is>
      </c>
      <c r="G498" t="inlineStr">
        <is>
          <t>1</t>
        </is>
      </c>
      <c r="H498" t="inlineStr">
        <is>
          <t>No</t>
        </is>
      </c>
      <c r="I498" t="inlineStr">
        <is>
          <t>No</t>
        </is>
      </c>
      <c r="J498" t="inlineStr">
        <is>
          <t>0</t>
        </is>
      </c>
      <c r="K498" t="inlineStr">
        <is>
          <t>Penueli, Shemuel Yeshayahu, 1904-1965, editor.</t>
        </is>
      </c>
      <c r="L498" t="inlineStr">
        <is>
          <t>Tel Aviv, Institute for the Translation of Hebrew Literature, 1965.</t>
        </is>
      </c>
      <c r="M498" t="inlineStr">
        <is>
          <t>1965</t>
        </is>
      </c>
      <c r="O498" t="inlineStr">
        <is>
          <t>eng</t>
        </is>
      </c>
      <c r="P498" t="inlineStr">
        <is>
          <t xml:space="preserve">is </t>
        </is>
      </c>
      <c r="R498" t="inlineStr">
        <is>
          <t xml:space="preserve">PJ </t>
        </is>
      </c>
      <c r="S498" t="n">
        <v>0</v>
      </c>
      <c r="T498" t="n">
        <v>3</v>
      </c>
      <c r="V498" t="inlineStr">
        <is>
          <t>1999-01-19</t>
        </is>
      </c>
      <c r="W498" t="inlineStr">
        <is>
          <t>1997-09-11</t>
        </is>
      </c>
      <c r="X498" t="inlineStr">
        <is>
          <t>1997-09-11</t>
        </is>
      </c>
      <c r="Y498" t="n">
        <v>329</v>
      </c>
      <c r="Z498" t="n">
        <v>303</v>
      </c>
      <c r="AA498" t="n">
        <v>309</v>
      </c>
      <c r="AB498" t="n">
        <v>3</v>
      </c>
      <c r="AC498" t="n">
        <v>3</v>
      </c>
      <c r="AD498" t="n">
        <v>16</v>
      </c>
      <c r="AE498" t="n">
        <v>16</v>
      </c>
      <c r="AF498" t="n">
        <v>3</v>
      </c>
      <c r="AG498" t="n">
        <v>3</v>
      </c>
      <c r="AH498" t="n">
        <v>4</v>
      </c>
      <c r="AI498" t="n">
        <v>4</v>
      </c>
      <c r="AJ498" t="n">
        <v>10</v>
      </c>
      <c r="AK498" t="n">
        <v>10</v>
      </c>
      <c r="AL498" t="n">
        <v>2</v>
      </c>
      <c r="AM498" t="n">
        <v>2</v>
      </c>
      <c r="AN498" t="n">
        <v>0</v>
      </c>
      <c r="AO498" t="n">
        <v>0</v>
      </c>
      <c r="AP498" t="inlineStr">
        <is>
          <t>No</t>
        </is>
      </c>
      <c r="AQ498" t="inlineStr">
        <is>
          <t>Yes</t>
        </is>
      </c>
      <c r="AR498">
        <f>HYPERLINK("http://catalog.hathitrust.org/Record/000290909","HathiTrust Record")</f>
        <v/>
      </c>
      <c r="AS498">
        <f>HYPERLINK("https://creighton-primo.hosted.exlibrisgroup.com/primo-explore/search?tab=default_tab&amp;search_scope=EVERYTHING&amp;vid=01CRU&amp;lang=en_US&amp;offset=0&amp;query=any,contains,991003606949702656","Catalog Record")</f>
        <v/>
      </c>
      <c r="AT498">
        <f>HYPERLINK("http://www.worldcat.org/oclc/1187767","WorldCat Record")</f>
        <v/>
      </c>
      <c r="AU498" t="inlineStr">
        <is>
          <t>350684648:eng</t>
        </is>
      </c>
      <c r="AV498" t="inlineStr">
        <is>
          <t>1187767</t>
        </is>
      </c>
      <c r="AW498" t="inlineStr">
        <is>
          <t>991003606949702656</t>
        </is>
      </c>
      <c r="AX498" t="inlineStr">
        <is>
          <t>991003606949702656</t>
        </is>
      </c>
      <c r="AY498" t="inlineStr">
        <is>
          <t>2263026100002656</t>
        </is>
      </c>
      <c r="AZ498" t="inlineStr">
        <is>
          <t>BOOK</t>
        </is>
      </c>
      <c r="BC498" t="inlineStr">
        <is>
          <t>32285003222808</t>
        </is>
      </c>
      <c r="BD498" t="inlineStr">
        <is>
          <t>893627665</t>
        </is>
      </c>
    </row>
    <row r="499">
      <c r="A499" t="inlineStr">
        <is>
          <t>No</t>
        </is>
      </c>
      <c r="B499" t="inlineStr">
        <is>
          <t>PJ5034.8.I8 A313 1981</t>
        </is>
      </c>
      <c r="C499" t="inlineStr">
        <is>
          <t>0                      PJ 5034800I  8                  A  313         1981</t>
        </is>
      </c>
      <c r="D499" t="inlineStr">
        <is>
          <t>Arad inscriptions / Yohanan Aharoni ; in cooperation with Joseph Naveh ; with contributions from A.F. Rainey ... [et al. ; translated from the Hebrew by Judith Ben-Or ; edited and revised by Anson F. Rainey].</t>
        </is>
      </c>
      <c r="F499" t="inlineStr">
        <is>
          <t>No</t>
        </is>
      </c>
      <c r="G499" t="inlineStr">
        <is>
          <t>1</t>
        </is>
      </c>
      <c r="H499" t="inlineStr">
        <is>
          <t>No</t>
        </is>
      </c>
      <c r="I499" t="inlineStr">
        <is>
          <t>No</t>
        </is>
      </c>
      <c r="J499" t="inlineStr">
        <is>
          <t>0</t>
        </is>
      </c>
      <c r="K499" t="inlineStr">
        <is>
          <t>Aharoni, Yohanan, 1919-1976.</t>
        </is>
      </c>
      <c r="L499" t="inlineStr">
        <is>
          <t>Jerusalem : Israel Exploration Society, 1981.</t>
        </is>
      </c>
      <c r="M499" t="inlineStr">
        <is>
          <t>1981</t>
        </is>
      </c>
      <c r="O499" t="inlineStr">
        <is>
          <t>eng</t>
        </is>
      </c>
      <c r="P499" t="inlineStr">
        <is>
          <t xml:space="preserve">is </t>
        </is>
      </c>
      <c r="Q499" t="inlineStr">
        <is>
          <t>Judean Desert studies</t>
        </is>
      </c>
      <c r="R499" t="inlineStr">
        <is>
          <t xml:space="preserve">PJ </t>
        </is>
      </c>
      <c r="S499" t="n">
        <v>4</v>
      </c>
      <c r="T499" t="n">
        <v>4</v>
      </c>
      <c r="U499" t="inlineStr">
        <is>
          <t>2009-09-04</t>
        </is>
      </c>
      <c r="V499" t="inlineStr">
        <is>
          <t>2009-09-04</t>
        </is>
      </c>
      <c r="W499" t="inlineStr">
        <is>
          <t>1997-10-16</t>
        </is>
      </c>
      <c r="X499" t="inlineStr">
        <is>
          <t>1997-10-16</t>
        </is>
      </c>
      <c r="Y499" t="n">
        <v>197</v>
      </c>
      <c r="Z499" t="n">
        <v>119</v>
      </c>
      <c r="AA499" t="n">
        <v>121</v>
      </c>
      <c r="AB499" t="n">
        <v>1</v>
      </c>
      <c r="AC499" t="n">
        <v>1</v>
      </c>
      <c r="AD499" t="n">
        <v>5</v>
      </c>
      <c r="AE499" t="n">
        <v>5</v>
      </c>
      <c r="AF499" t="n">
        <v>2</v>
      </c>
      <c r="AG499" t="n">
        <v>2</v>
      </c>
      <c r="AH499" t="n">
        <v>0</v>
      </c>
      <c r="AI499" t="n">
        <v>0</v>
      </c>
      <c r="AJ499" t="n">
        <v>4</v>
      </c>
      <c r="AK499" t="n">
        <v>4</v>
      </c>
      <c r="AL499" t="n">
        <v>0</v>
      </c>
      <c r="AM499" t="n">
        <v>0</v>
      </c>
      <c r="AN499" t="n">
        <v>0</v>
      </c>
      <c r="AO499" t="n">
        <v>0</v>
      </c>
      <c r="AP499" t="inlineStr">
        <is>
          <t>No</t>
        </is>
      </c>
      <c r="AQ499" t="inlineStr">
        <is>
          <t>Yes</t>
        </is>
      </c>
      <c r="AR499">
        <f>HYPERLINK("http://catalog.hathitrust.org/Record/000225844","HathiTrust Record")</f>
        <v/>
      </c>
      <c r="AS499">
        <f>HYPERLINK("https://creighton-primo.hosted.exlibrisgroup.com/primo-explore/search?tab=default_tab&amp;search_scope=EVERYTHING&amp;vid=01CRU&amp;lang=en_US&amp;offset=0&amp;query=any,contains,991005184349702656","Catalog Record")</f>
        <v/>
      </c>
      <c r="AT499">
        <f>HYPERLINK("http://www.worldcat.org/oclc/7957845","WorldCat Record")</f>
        <v/>
      </c>
      <c r="AU499" t="inlineStr">
        <is>
          <t>4495003391:eng</t>
        </is>
      </c>
      <c r="AV499" t="inlineStr">
        <is>
          <t>7957845</t>
        </is>
      </c>
      <c r="AW499" t="inlineStr">
        <is>
          <t>991005184349702656</t>
        </is>
      </c>
      <c r="AX499" t="inlineStr">
        <is>
          <t>991005184349702656</t>
        </is>
      </c>
      <c r="AY499" t="inlineStr">
        <is>
          <t>2269509160002656</t>
        </is>
      </c>
      <c r="AZ499" t="inlineStr">
        <is>
          <t>BOOK</t>
        </is>
      </c>
      <c r="BC499" t="inlineStr">
        <is>
          <t>32285003255410</t>
        </is>
      </c>
      <c r="BD499" t="inlineStr">
        <is>
          <t>893443546</t>
        </is>
      </c>
    </row>
    <row r="500">
      <c r="A500" t="inlineStr">
        <is>
          <t>No</t>
        </is>
      </c>
      <c r="B500" t="inlineStr">
        <is>
          <t>PJ5053.A4 H33 1968</t>
        </is>
      </c>
      <c r="C500" t="inlineStr">
        <is>
          <t>0                      PJ 5053000A  4                  H  33          1968</t>
        </is>
      </c>
      <c r="D500" t="inlineStr">
        <is>
          <t>The bridal canopy / S. Y. Agnon ; translated by I. M. Lask.</t>
        </is>
      </c>
      <c r="F500" t="inlineStr">
        <is>
          <t>No</t>
        </is>
      </c>
      <c r="G500" t="inlineStr">
        <is>
          <t>1</t>
        </is>
      </c>
      <c r="H500" t="inlineStr">
        <is>
          <t>No</t>
        </is>
      </c>
      <c r="I500" t="inlineStr">
        <is>
          <t>No</t>
        </is>
      </c>
      <c r="J500" t="inlineStr">
        <is>
          <t>0</t>
        </is>
      </c>
      <c r="K500" t="inlineStr">
        <is>
          <t>Agnon, Shmuel Yosef, 1887-1970.</t>
        </is>
      </c>
      <c r="L500" t="inlineStr">
        <is>
          <t>New York : Schocken Books, 1968, c1967.</t>
        </is>
      </c>
      <c r="M500" t="inlineStr">
        <is>
          <t>1968</t>
        </is>
      </c>
      <c r="N500" t="inlineStr">
        <is>
          <t>1st Schocken paperback ed.</t>
        </is>
      </c>
      <c r="O500" t="inlineStr">
        <is>
          <t>eng</t>
        </is>
      </c>
      <c r="P500" t="inlineStr">
        <is>
          <t>nyu</t>
        </is>
      </c>
      <c r="R500" t="inlineStr">
        <is>
          <t xml:space="preserve">PJ </t>
        </is>
      </c>
      <c r="S500" t="n">
        <v>3</v>
      </c>
      <c r="T500" t="n">
        <v>3</v>
      </c>
      <c r="U500" t="inlineStr">
        <is>
          <t>2006-03-20</t>
        </is>
      </c>
      <c r="V500" t="inlineStr">
        <is>
          <t>2006-03-20</t>
        </is>
      </c>
      <c r="W500" t="inlineStr">
        <is>
          <t>1993-04-28</t>
        </is>
      </c>
      <c r="X500" t="inlineStr">
        <is>
          <t>1993-04-28</t>
        </is>
      </c>
      <c r="Y500" t="n">
        <v>49</v>
      </c>
      <c r="Z500" t="n">
        <v>46</v>
      </c>
      <c r="AA500" t="n">
        <v>907</v>
      </c>
      <c r="AB500" t="n">
        <v>1</v>
      </c>
      <c r="AC500" t="n">
        <v>5</v>
      </c>
      <c r="AD500" t="n">
        <v>2</v>
      </c>
      <c r="AE500" t="n">
        <v>38</v>
      </c>
      <c r="AF500" t="n">
        <v>1</v>
      </c>
      <c r="AG500" t="n">
        <v>14</v>
      </c>
      <c r="AH500" t="n">
        <v>1</v>
      </c>
      <c r="AI500" t="n">
        <v>9</v>
      </c>
      <c r="AJ500" t="n">
        <v>0</v>
      </c>
      <c r="AK500" t="n">
        <v>20</v>
      </c>
      <c r="AL500" t="n">
        <v>0</v>
      </c>
      <c r="AM500" t="n">
        <v>4</v>
      </c>
      <c r="AN500" t="n">
        <v>0</v>
      </c>
      <c r="AO500" t="n">
        <v>0</v>
      </c>
      <c r="AP500" t="inlineStr">
        <is>
          <t>No</t>
        </is>
      </c>
      <c r="AQ500" t="inlineStr">
        <is>
          <t>No</t>
        </is>
      </c>
      <c r="AS500">
        <f>HYPERLINK("https://creighton-primo.hosted.exlibrisgroup.com/primo-explore/search?tab=default_tab&amp;search_scope=EVERYTHING&amp;vid=01CRU&amp;lang=en_US&amp;offset=0&amp;query=any,contains,991004709379702656","Catalog Record")</f>
        <v/>
      </c>
      <c r="AT500">
        <f>HYPERLINK("http://www.worldcat.org/oclc/4747447","WorldCat Record")</f>
        <v/>
      </c>
      <c r="AU500" t="inlineStr">
        <is>
          <t>1470709:eng</t>
        </is>
      </c>
      <c r="AV500" t="inlineStr">
        <is>
          <t>4747447</t>
        </is>
      </c>
      <c r="AW500" t="inlineStr">
        <is>
          <t>991004709379702656</t>
        </is>
      </c>
      <c r="AX500" t="inlineStr">
        <is>
          <t>991004709379702656</t>
        </is>
      </c>
      <c r="AY500" t="inlineStr">
        <is>
          <t>2260707660002656</t>
        </is>
      </c>
      <c r="AZ500" t="inlineStr">
        <is>
          <t>BOOK</t>
        </is>
      </c>
      <c r="BC500" t="inlineStr">
        <is>
          <t>32285001670735</t>
        </is>
      </c>
      <c r="BD500" t="inlineStr">
        <is>
          <t>893507140</t>
        </is>
      </c>
    </row>
    <row r="501">
      <c r="A501" t="inlineStr">
        <is>
          <t>No</t>
        </is>
      </c>
      <c r="B501" t="inlineStr">
        <is>
          <t>PJ5054.A755 Z47313 2004</t>
        </is>
      </c>
      <c r="C501" t="inlineStr">
        <is>
          <t>0                      PJ 5054000A  755                Z  47313       2004</t>
        </is>
      </c>
      <c r="D501" t="inlineStr">
        <is>
          <t>The story of a life / Aharon Appelfeld ; translated from the Hebrew by Aloma Halter.</t>
        </is>
      </c>
      <c r="F501" t="inlineStr">
        <is>
          <t>No</t>
        </is>
      </c>
      <c r="G501" t="inlineStr">
        <is>
          <t>1</t>
        </is>
      </c>
      <c r="H501" t="inlineStr">
        <is>
          <t>No</t>
        </is>
      </c>
      <c r="I501" t="inlineStr">
        <is>
          <t>No</t>
        </is>
      </c>
      <c r="J501" t="inlineStr">
        <is>
          <t>0</t>
        </is>
      </c>
      <c r="K501" t="inlineStr">
        <is>
          <t>Apelfeld, Aharon.</t>
        </is>
      </c>
      <c r="L501" t="inlineStr">
        <is>
          <t>New York : Schocken Books, c2004.</t>
        </is>
      </c>
      <c r="M501" t="inlineStr">
        <is>
          <t>2004</t>
        </is>
      </c>
      <c r="N501" t="inlineStr">
        <is>
          <t>1st American ed.</t>
        </is>
      </c>
      <c r="O501" t="inlineStr">
        <is>
          <t>eng</t>
        </is>
      </c>
      <c r="P501" t="inlineStr">
        <is>
          <t>nyu</t>
        </is>
      </c>
      <c r="R501" t="inlineStr">
        <is>
          <t xml:space="preserve">PJ </t>
        </is>
      </c>
      <c r="S501" t="n">
        <v>3</v>
      </c>
      <c r="T501" t="n">
        <v>3</v>
      </c>
      <c r="U501" t="inlineStr">
        <is>
          <t>2006-03-20</t>
        </is>
      </c>
      <c r="V501" t="inlineStr">
        <is>
          <t>2006-03-20</t>
        </is>
      </c>
      <c r="W501" t="inlineStr">
        <is>
          <t>2004-11-15</t>
        </is>
      </c>
      <c r="X501" t="inlineStr">
        <is>
          <t>2004-11-15</t>
        </is>
      </c>
      <c r="Y501" t="n">
        <v>658</v>
      </c>
      <c r="Z501" t="n">
        <v>598</v>
      </c>
      <c r="AA501" t="n">
        <v>633</v>
      </c>
      <c r="AB501" t="n">
        <v>5</v>
      </c>
      <c r="AC501" t="n">
        <v>5</v>
      </c>
      <c r="AD501" t="n">
        <v>16</v>
      </c>
      <c r="AE501" t="n">
        <v>16</v>
      </c>
      <c r="AF501" t="n">
        <v>7</v>
      </c>
      <c r="AG501" t="n">
        <v>7</v>
      </c>
      <c r="AH501" t="n">
        <v>5</v>
      </c>
      <c r="AI501" t="n">
        <v>5</v>
      </c>
      <c r="AJ501" t="n">
        <v>7</v>
      </c>
      <c r="AK501" t="n">
        <v>7</v>
      </c>
      <c r="AL501" t="n">
        <v>2</v>
      </c>
      <c r="AM501" t="n">
        <v>2</v>
      </c>
      <c r="AN501" t="n">
        <v>0</v>
      </c>
      <c r="AO501" t="n">
        <v>0</v>
      </c>
      <c r="AP501" t="inlineStr">
        <is>
          <t>No</t>
        </is>
      </c>
      <c r="AQ501" t="inlineStr">
        <is>
          <t>Yes</t>
        </is>
      </c>
      <c r="AR501">
        <f>HYPERLINK("http://catalog.hathitrust.org/Record/004768807","HathiTrust Record")</f>
        <v/>
      </c>
      <c r="AS501">
        <f>HYPERLINK("https://creighton-primo.hosted.exlibrisgroup.com/primo-explore/search?tab=default_tab&amp;search_scope=EVERYTHING&amp;vid=01CRU&amp;lang=en_US&amp;offset=0&amp;query=any,contains,991004405139702656","Catalog Record")</f>
        <v/>
      </c>
      <c r="AT501">
        <f>HYPERLINK("http://www.worldcat.org/oclc/54694669","WorldCat Record")</f>
        <v/>
      </c>
      <c r="AU501" t="inlineStr">
        <is>
          <t>3943319635:eng</t>
        </is>
      </c>
      <c r="AV501" t="inlineStr">
        <is>
          <t>54694669</t>
        </is>
      </c>
      <c r="AW501" t="inlineStr">
        <is>
          <t>991004405139702656</t>
        </is>
      </c>
      <c r="AX501" t="inlineStr">
        <is>
          <t>991004405139702656</t>
        </is>
      </c>
      <c r="AY501" t="inlineStr">
        <is>
          <t>2260284180002656</t>
        </is>
      </c>
      <c r="AZ501" t="inlineStr">
        <is>
          <t>BOOK</t>
        </is>
      </c>
      <c r="BB501" t="inlineStr">
        <is>
          <t>9780805241785</t>
        </is>
      </c>
      <c r="BC501" t="inlineStr">
        <is>
          <t>32285005010383</t>
        </is>
      </c>
      <c r="BD501" t="inlineStr">
        <is>
          <t>893247548</t>
        </is>
      </c>
    </row>
    <row r="502">
      <c r="A502" t="inlineStr">
        <is>
          <t>No</t>
        </is>
      </c>
      <c r="B502" t="inlineStr">
        <is>
          <t>PJ5054.K326 A8913 1988</t>
        </is>
      </c>
      <c r="C502" t="inlineStr">
        <is>
          <t>0                      PJ 5054000K  326                A  8913        1988</t>
        </is>
      </c>
      <c r="D502" t="inlineStr">
        <is>
          <t>Confessions of a good Arab : a novel / Yoram Kaniuk ; translated by Dalya Bilu.</t>
        </is>
      </c>
      <c r="F502" t="inlineStr">
        <is>
          <t>No</t>
        </is>
      </c>
      <c r="G502" t="inlineStr">
        <is>
          <t>1</t>
        </is>
      </c>
      <c r="H502" t="inlineStr">
        <is>
          <t>No</t>
        </is>
      </c>
      <c r="I502" t="inlineStr">
        <is>
          <t>No</t>
        </is>
      </c>
      <c r="J502" t="inlineStr">
        <is>
          <t>0</t>
        </is>
      </c>
      <c r="K502" t="inlineStr">
        <is>
          <t>Kaniuk, Yoram.</t>
        </is>
      </c>
      <c r="L502" t="inlineStr">
        <is>
          <t>New York : G. Braziller, 1988, c1984.</t>
        </is>
      </c>
      <c r="M502" t="inlineStr">
        <is>
          <t>1988</t>
        </is>
      </c>
      <c r="O502" t="inlineStr">
        <is>
          <t>eng</t>
        </is>
      </c>
      <c r="P502" t="inlineStr">
        <is>
          <t>nyu</t>
        </is>
      </c>
      <c r="R502" t="inlineStr">
        <is>
          <t xml:space="preserve">PJ </t>
        </is>
      </c>
      <c r="S502" t="n">
        <v>1</v>
      </c>
      <c r="T502" t="n">
        <v>1</v>
      </c>
      <c r="U502" t="inlineStr">
        <is>
          <t>2007-08-30</t>
        </is>
      </c>
      <c r="V502" t="inlineStr">
        <is>
          <t>2007-08-30</t>
        </is>
      </c>
      <c r="W502" t="inlineStr">
        <is>
          <t>1993-04-28</t>
        </is>
      </c>
      <c r="X502" t="inlineStr">
        <is>
          <t>1993-04-28</t>
        </is>
      </c>
      <c r="Y502" t="n">
        <v>272</v>
      </c>
      <c r="Z502" t="n">
        <v>254</v>
      </c>
      <c r="AA502" t="n">
        <v>305</v>
      </c>
      <c r="AB502" t="n">
        <v>2</v>
      </c>
      <c r="AC502" t="n">
        <v>2</v>
      </c>
      <c r="AD502" t="n">
        <v>6</v>
      </c>
      <c r="AE502" t="n">
        <v>7</v>
      </c>
      <c r="AF502" t="n">
        <v>1</v>
      </c>
      <c r="AG502" t="n">
        <v>1</v>
      </c>
      <c r="AH502" t="n">
        <v>3</v>
      </c>
      <c r="AI502" t="n">
        <v>3</v>
      </c>
      <c r="AJ502" t="n">
        <v>3</v>
      </c>
      <c r="AK502" t="n">
        <v>4</v>
      </c>
      <c r="AL502" t="n">
        <v>1</v>
      </c>
      <c r="AM502" t="n">
        <v>1</v>
      </c>
      <c r="AN502" t="n">
        <v>0</v>
      </c>
      <c r="AO502" t="n">
        <v>0</v>
      </c>
      <c r="AP502" t="inlineStr">
        <is>
          <t>No</t>
        </is>
      </c>
      <c r="AQ502" t="inlineStr">
        <is>
          <t>Yes</t>
        </is>
      </c>
      <c r="AR502">
        <f>HYPERLINK("http://catalog.hathitrust.org/Record/101876096","HathiTrust Record")</f>
        <v/>
      </c>
      <c r="AS502">
        <f>HYPERLINK("https://creighton-primo.hosted.exlibrisgroup.com/primo-explore/search?tab=default_tab&amp;search_scope=EVERYTHING&amp;vid=01CRU&amp;lang=en_US&amp;offset=0&amp;query=any,contains,991001296659702656","Catalog Record")</f>
        <v/>
      </c>
      <c r="AT502">
        <f>HYPERLINK("http://www.worldcat.org/oclc/18049149","WorldCat Record")</f>
        <v/>
      </c>
      <c r="AU502" t="inlineStr">
        <is>
          <t>3856092147:eng</t>
        </is>
      </c>
      <c r="AV502" t="inlineStr">
        <is>
          <t>18049149</t>
        </is>
      </c>
      <c r="AW502" t="inlineStr">
        <is>
          <t>991001296659702656</t>
        </is>
      </c>
      <c r="AX502" t="inlineStr">
        <is>
          <t>991001296659702656</t>
        </is>
      </c>
      <c r="AY502" t="inlineStr">
        <is>
          <t>2260429490002656</t>
        </is>
      </c>
      <c r="AZ502" t="inlineStr">
        <is>
          <t>BOOK</t>
        </is>
      </c>
      <c r="BB502" t="inlineStr">
        <is>
          <t>9780807612101</t>
        </is>
      </c>
      <c r="BC502" t="inlineStr">
        <is>
          <t>32285001670792</t>
        </is>
      </c>
      <c r="BD502" t="inlineStr">
        <is>
          <t>893684234</t>
        </is>
      </c>
    </row>
    <row r="503">
      <c r="A503" t="inlineStr">
        <is>
          <t>No</t>
        </is>
      </c>
      <c r="B503" t="inlineStr">
        <is>
          <t>PJ5054.K326 Y4413 2006</t>
        </is>
      </c>
      <c r="C503" t="inlineStr">
        <is>
          <t>0                      PJ 5054000K  326                Y  4413        2006</t>
        </is>
      </c>
      <c r="D503" t="inlineStr">
        <is>
          <t>The last Jew : being the tale of a teacher Henkin and the vulture, the chronicles of the last Jew, the awful tale of Joseph and his offspring, the story of secret charity, the annals of the Moshava, all those wars, and the end of the annals of the Jews / Yoram Kaniuk ; translated from the Hebrew by Barbara Harshav.</t>
        </is>
      </c>
      <c r="F503" t="inlineStr">
        <is>
          <t>No</t>
        </is>
      </c>
      <c r="G503" t="inlineStr">
        <is>
          <t>1</t>
        </is>
      </c>
      <c r="H503" t="inlineStr">
        <is>
          <t>No</t>
        </is>
      </c>
      <c r="I503" t="inlineStr">
        <is>
          <t>No</t>
        </is>
      </c>
      <c r="J503" t="inlineStr">
        <is>
          <t>0</t>
        </is>
      </c>
      <c r="K503" t="inlineStr">
        <is>
          <t>Kaniuk, Yoram.</t>
        </is>
      </c>
      <c r="L503" t="inlineStr">
        <is>
          <t>New York : Grove Press, c2006.</t>
        </is>
      </c>
      <c r="M503" t="inlineStr">
        <is>
          <t>2006</t>
        </is>
      </c>
      <c r="N503" t="inlineStr">
        <is>
          <t>1st ed.</t>
        </is>
      </c>
      <c r="O503" t="inlineStr">
        <is>
          <t>eng</t>
        </is>
      </c>
      <c r="P503" t="inlineStr">
        <is>
          <t>nyu</t>
        </is>
      </c>
      <c r="R503" t="inlineStr">
        <is>
          <t xml:space="preserve">PJ </t>
        </is>
      </c>
      <c r="S503" t="n">
        <v>1</v>
      </c>
      <c r="T503" t="n">
        <v>1</v>
      </c>
      <c r="U503" t="inlineStr">
        <is>
          <t>2006-02-08</t>
        </is>
      </c>
      <c r="V503" t="inlineStr">
        <is>
          <t>2006-02-08</t>
        </is>
      </c>
      <c r="W503" t="inlineStr">
        <is>
          <t>2006-02-07</t>
        </is>
      </c>
      <c r="X503" t="inlineStr">
        <is>
          <t>2006-02-07</t>
        </is>
      </c>
      <c r="Y503" t="n">
        <v>481</v>
      </c>
      <c r="Z503" t="n">
        <v>441</v>
      </c>
      <c r="AA503" t="n">
        <v>476</v>
      </c>
      <c r="AB503" t="n">
        <v>3</v>
      </c>
      <c r="AC503" t="n">
        <v>4</v>
      </c>
      <c r="AD503" t="n">
        <v>9</v>
      </c>
      <c r="AE503" t="n">
        <v>10</v>
      </c>
      <c r="AF503" t="n">
        <v>2</v>
      </c>
      <c r="AG503" t="n">
        <v>2</v>
      </c>
      <c r="AH503" t="n">
        <v>3</v>
      </c>
      <c r="AI503" t="n">
        <v>3</v>
      </c>
      <c r="AJ503" t="n">
        <v>5</v>
      </c>
      <c r="AK503" t="n">
        <v>5</v>
      </c>
      <c r="AL503" t="n">
        <v>1</v>
      </c>
      <c r="AM503" t="n">
        <v>2</v>
      </c>
      <c r="AN503" t="n">
        <v>0</v>
      </c>
      <c r="AO503" t="n">
        <v>0</v>
      </c>
      <c r="AP503" t="inlineStr">
        <is>
          <t>No</t>
        </is>
      </c>
      <c r="AQ503" t="inlineStr">
        <is>
          <t>Yes</t>
        </is>
      </c>
      <c r="AR503">
        <f>HYPERLINK("http://catalog.hathitrust.org/Record/007146539","HathiTrust Record")</f>
        <v/>
      </c>
      <c r="AS503">
        <f>HYPERLINK("https://creighton-primo.hosted.exlibrisgroup.com/primo-explore/search?tab=default_tab&amp;search_scope=EVERYTHING&amp;vid=01CRU&amp;lang=en_US&amp;offset=0&amp;query=any,contains,991004722019702656","Catalog Record")</f>
        <v/>
      </c>
      <c r="AT503">
        <f>HYPERLINK("http://www.worldcat.org/oclc/60882052","WorldCat Record")</f>
        <v/>
      </c>
      <c r="AU503" t="inlineStr">
        <is>
          <t>1062997377:eng</t>
        </is>
      </c>
      <c r="AV503" t="inlineStr">
        <is>
          <t>60882052</t>
        </is>
      </c>
      <c r="AW503" t="inlineStr">
        <is>
          <t>991004722019702656</t>
        </is>
      </c>
      <c r="AX503" t="inlineStr">
        <is>
          <t>991004722019702656</t>
        </is>
      </c>
      <c r="AY503" t="inlineStr">
        <is>
          <t>2266395880002656</t>
        </is>
      </c>
      <c r="AZ503" t="inlineStr">
        <is>
          <t>BOOK</t>
        </is>
      </c>
      <c r="BB503" t="inlineStr">
        <is>
          <t>9780802118110</t>
        </is>
      </c>
      <c r="BC503" t="inlineStr">
        <is>
          <t>32285005157531</t>
        </is>
      </c>
      <c r="BD503" t="inlineStr">
        <is>
          <t>893519979</t>
        </is>
      </c>
    </row>
    <row r="504">
      <c r="A504" t="inlineStr">
        <is>
          <t>No</t>
        </is>
      </c>
      <c r="B504" t="inlineStr">
        <is>
          <t>PJ5054.R257 H3813 2002</t>
        </is>
      </c>
      <c r="C504" t="inlineStr">
        <is>
          <t>0                      PJ 5054000R  257                H  3813        2002</t>
        </is>
      </c>
      <c r="D504" t="inlineStr">
        <is>
          <t>Strand of a thousand pearls : a novel / Dorit Rabinyan ; translated by Yael Lotan.</t>
        </is>
      </c>
      <c r="F504" t="inlineStr">
        <is>
          <t>No</t>
        </is>
      </c>
      <c r="G504" t="inlineStr">
        <is>
          <t>1</t>
        </is>
      </c>
      <c r="H504" t="inlineStr">
        <is>
          <t>No</t>
        </is>
      </c>
      <c r="I504" t="inlineStr">
        <is>
          <t>No</t>
        </is>
      </c>
      <c r="J504" t="inlineStr">
        <is>
          <t>0</t>
        </is>
      </c>
      <c r="K504" t="inlineStr">
        <is>
          <t>Rabinyan, Dorit.</t>
        </is>
      </c>
      <c r="L504" t="inlineStr">
        <is>
          <t>New York : Random House, [2002], c2001.</t>
        </is>
      </c>
      <c r="M504" t="inlineStr">
        <is>
          <t>2002</t>
        </is>
      </c>
      <c r="N504" t="inlineStr">
        <is>
          <t>1st U.S. ed.</t>
        </is>
      </c>
      <c r="O504" t="inlineStr">
        <is>
          <t>eng</t>
        </is>
      </c>
      <c r="P504" t="inlineStr">
        <is>
          <t>nyu</t>
        </is>
      </c>
      <c r="R504" t="inlineStr">
        <is>
          <t xml:space="preserve">PJ </t>
        </is>
      </c>
      <c r="S504" t="n">
        <v>2</v>
      </c>
      <c r="T504" t="n">
        <v>2</v>
      </c>
      <c r="U504" t="inlineStr">
        <is>
          <t>2002-07-06</t>
        </is>
      </c>
      <c r="V504" t="inlineStr">
        <is>
          <t>2002-07-06</t>
        </is>
      </c>
      <c r="W504" t="inlineStr">
        <is>
          <t>2002-06-27</t>
        </is>
      </c>
      <c r="X504" t="inlineStr">
        <is>
          <t>2002-06-27</t>
        </is>
      </c>
      <c r="Y504" t="n">
        <v>348</v>
      </c>
      <c r="Z504" t="n">
        <v>332</v>
      </c>
      <c r="AA504" t="n">
        <v>421</v>
      </c>
      <c r="AB504" t="n">
        <v>2</v>
      </c>
      <c r="AC504" t="n">
        <v>2</v>
      </c>
      <c r="AD504" t="n">
        <v>6</v>
      </c>
      <c r="AE504" t="n">
        <v>8</v>
      </c>
      <c r="AF504" t="n">
        <v>0</v>
      </c>
      <c r="AG504" t="n">
        <v>1</v>
      </c>
      <c r="AH504" t="n">
        <v>5</v>
      </c>
      <c r="AI504" t="n">
        <v>5</v>
      </c>
      <c r="AJ504" t="n">
        <v>2</v>
      </c>
      <c r="AK504" t="n">
        <v>3</v>
      </c>
      <c r="AL504" t="n">
        <v>1</v>
      </c>
      <c r="AM504" t="n">
        <v>1</v>
      </c>
      <c r="AN504" t="n">
        <v>0</v>
      </c>
      <c r="AO504" t="n">
        <v>0</v>
      </c>
      <c r="AP504" t="inlineStr">
        <is>
          <t>No</t>
        </is>
      </c>
      <c r="AQ504" t="inlineStr">
        <is>
          <t>Yes</t>
        </is>
      </c>
      <c r="AR504">
        <f>HYPERLINK("http://catalog.hathitrust.org/Record/004303750","HathiTrust Record")</f>
        <v/>
      </c>
      <c r="AS504">
        <f>HYPERLINK("https://creighton-primo.hosted.exlibrisgroup.com/primo-explore/search?tab=default_tab&amp;search_scope=EVERYTHING&amp;vid=01CRU&amp;lang=en_US&amp;offset=0&amp;query=any,contains,991003779519702656","Catalog Record")</f>
        <v/>
      </c>
      <c r="AT504">
        <f>HYPERLINK("http://www.worldcat.org/oclc/49892357","WorldCat Record")</f>
        <v/>
      </c>
      <c r="AU504" t="inlineStr">
        <is>
          <t>1807952004:eng</t>
        </is>
      </c>
      <c r="AV504" t="inlineStr">
        <is>
          <t>49892357</t>
        </is>
      </c>
      <c r="AW504" t="inlineStr">
        <is>
          <t>991003779519702656</t>
        </is>
      </c>
      <c r="AX504" t="inlineStr">
        <is>
          <t>991003779519702656</t>
        </is>
      </c>
      <c r="AY504" t="inlineStr">
        <is>
          <t>2257401740002656</t>
        </is>
      </c>
      <c r="AZ504" t="inlineStr">
        <is>
          <t>BOOK</t>
        </is>
      </c>
      <c r="BB504" t="inlineStr">
        <is>
          <t>9780375508110</t>
        </is>
      </c>
      <c r="BC504" t="inlineStr">
        <is>
          <t>32285004495866</t>
        </is>
      </c>
      <c r="BD504" t="inlineStr">
        <is>
          <t>893900352</t>
        </is>
      </c>
    </row>
    <row r="505">
      <c r="A505" t="inlineStr">
        <is>
          <t>No</t>
        </is>
      </c>
      <c r="B505" t="inlineStr">
        <is>
          <t>PJ5054.Y42 M3413 1993</t>
        </is>
      </c>
      <c r="C505" t="inlineStr">
        <is>
          <t>0                      PJ 5054000Y  42                 M  3413        1993</t>
        </is>
      </c>
      <c r="D505" t="inlineStr">
        <is>
          <t>Mr. Mani / A.B. Yehoshua ; translated from the Hebrew by Hillel Halkin.</t>
        </is>
      </c>
      <c r="F505" t="inlineStr">
        <is>
          <t>No</t>
        </is>
      </c>
      <c r="G505" t="inlineStr">
        <is>
          <t>1</t>
        </is>
      </c>
      <c r="H505" t="inlineStr">
        <is>
          <t>No</t>
        </is>
      </c>
      <c r="I505" t="inlineStr">
        <is>
          <t>No</t>
        </is>
      </c>
      <c r="J505" t="inlineStr">
        <is>
          <t>0</t>
        </is>
      </c>
      <c r="K505" t="inlineStr">
        <is>
          <t>Yehoshua, Abraham B.</t>
        </is>
      </c>
      <c r="L505" t="inlineStr">
        <is>
          <t>San Diego : Harcourt Brace, 1993.</t>
        </is>
      </c>
      <c r="M505" t="inlineStr">
        <is>
          <t>1993</t>
        </is>
      </c>
      <c r="N505" t="inlineStr">
        <is>
          <t>1st Harvest ed.</t>
        </is>
      </c>
      <c r="O505" t="inlineStr">
        <is>
          <t>eng</t>
        </is>
      </c>
      <c r="P505" t="inlineStr">
        <is>
          <t>cau</t>
        </is>
      </c>
      <c r="Q505" t="inlineStr">
        <is>
          <t>A Harvest book</t>
        </is>
      </c>
      <c r="R505" t="inlineStr">
        <is>
          <t xml:space="preserve">PJ </t>
        </is>
      </c>
      <c r="S505" t="n">
        <v>4</v>
      </c>
      <c r="T505" t="n">
        <v>4</v>
      </c>
      <c r="U505" t="inlineStr">
        <is>
          <t>2009-07-13</t>
        </is>
      </c>
      <c r="V505" t="inlineStr">
        <is>
          <t>2009-07-13</t>
        </is>
      </c>
      <c r="W505" t="inlineStr">
        <is>
          <t>1993-08-24</t>
        </is>
      </c>
      <c r="X505" t="inlineStr">
        <is>
          <t>1993-08-24</t>
        </is>
      </c>
      <c r="Y505" t="n">
        <v>143</v>
      </c>
      <c r="Z505" t="n">
        <v>129</v>
      </c>
      <c r="AA505" t="n">
        <v>671</v>
      </c>
      <c r="AB505" t="n">
        <v>2</v>
      </c>
      <c r="AC505" t="n">
        <v>3</v>
      </c>
      <c r="AD505" t="n">
        <v>4</v>
      </c>
      <c r="AE505" t="n">
        <v>16</v>
      </c>
      <c r="AF505" t="n">
        <v>1</v>
      </c>
      <c r="AG505" t="n">
        <v>5</v>
      </c>
      <c r="AH505" t="n">
        <v>1</v>
      </c>
      <c r="AI505" t="n">
        <v>5</v>
      </c>
      <c r="AJ505" t="n">
        <v>1</v>
      </c>
      <c r="AK505" t="n">
        <v>9</v>
      </c>
      <c r="AL505" t="n">
        <v>1</v>
      </c>
      <c r="AM505" t="n">
        <v>1</v>
      </c>
      <c r="AN505" t="n">
        <v>0</v>
      </c>
      <c r="AO505" t="n">
        <v>0</v>
      </c>
      <c r="AP505" t="inlineStr">
        <is>
          <t>No</t>
        </is>
      </c>
      <c r="AQ505" t="inlineStr">
        <is>
          <t>No</t>
        </is>
      </c>
      <c r="AS505">
        <f>HYPERLINK("https://creighton-primo.hosted.exlibrisgroup.com/primo-explore/search?tab=default_tab&amp;search_scope=EVERYTHING&amp;vid=01CRU&amp;lang=en_US&amp;offset=0&amp;query=any,contains,991002201189702656","Catalog Record")</f>
        <v/>
      </c>
      <c r="AT505">
        <f>HYPERLINK("http://www.worldcat.org/oclc/28299378","WorldCat Record")</f>
        <v/>
      </c>
      <c r="AU505" t="inlineStr">
        <is>
          <t>471437933:eng</t>
        </is>
      </c>
      <c r="AV505" t="inlineStr">
        <is>
          <t>28299378</t>
        </is>
      </c>
      <c r="AW505" t="inlineStr">
        <is>
          <t>991002201189702656</t>
        </is>
      </c>
      <c r="AX505" t="inlineStr">
        <is>
          <t>991002201189702656</t>
        </is>
      </c>
      <c r="AY505" t="inlineStr">
        <is>
          <t>2262432770002656</t>
        </is>
      </c>
      <c r="AZ505" t="inlineStr">
        <is>
          <t>BOOK</t>
        </is>
      </c>
      <c r="BB505" t="inlineStr">
        <is>
          <t>9780156627696</t>
        </is>
      </c>
      <c r="BC505" t="inlineStr">
        <is>
          <t>32285001728129</t>
        </is>
      </c>
      <c r="BD505" t="inlineStr">
        <is>
          <t>893433600</t>
        </is>
      </c>
    </row>
    <row r="506">
      <c r="A506" t="inlineStr">
        <is>
          <t>No</t>
        </is>
      </c>
      <c r="B506" t="inlineStr">
        <is>
          <t>PJ5055.38.A84 V313 2006</t>
        </is>
      </c>
      <c r="C506" t="inlineStr">
        <is>
          <t>0                      PJ 5055380A  84                 V  313         2006</t>
        </is>
      </c>
      <c r="D506" t="inlineStr">
        <is>
          <t>Let it be morning / Sayed Kashua ; translated from the Hebrew by Miriam Shlesinger.</t>
        </is>
      </c>
      <c r="F506" t="inlineStr">
        <is>
          <t>No</t>
        </is>
      </c>
      <c r="G506" t="inlineStr">
        <is>
          <t>1</t>
        </is>
      </c>
      <c r="H506" t="inlineStr">
        <is>
          <t>No</t>
        </is>
      </c>
      <c r="I506" t="inlineStr">
        <is>
          <t>No</t>
        </is>
      </c>
      <c r="J506" t="inlineStr">
        <is>
          <t>0</t>
        </is>
      </c>
      <c r="K506" t="inlineStr">
        <is>
          <t>Qashu, Sayed, 1975-</t>
        </is>
      </c>
      <c r="L506" t="inlineStr">
        <is>
          <t>New York : Black Cat : Distributed by Publishers Group West, c2006.</t>
        </is>
      </c>
      <c r="M506" t="inlineStr">
        <is>
          <t>2006</t>
        </is>
      </c>
      <c r="N506" t="inlineStr">
        <is>
          <t>1st ed.</t>
        </is>
      </c>
      <c r="O506" t="inlineStr">
        <is>
          <t>eng</t>
        </is>
      </c>
      <c r="P506" t="inlineStr">
        <is>
          <t>nyu</t>
        </is>
      </c>
      <c r="R506" t="inlineStr">
        <is>
          <t xml:space="preserve">PJ </t>
        </is>
      </c>
      <c r="S506" t="n">
        <v>1</v>
      </c>
      <c r="T506" t="n">
        <v>1</v>
      </c>
      <c r="U506" t="inlineStr">
        <is>
          <t>2006-06-06</t>
        </is>
      </c>
      <c r="V506" t="inlineStr">
        <is>
          <t>2006-06-06</t>
        </is>
      </c>
      <c r="W506" t="inlineStr">
        <is>
          <t>2006-06-06</t>
        </is>
      </c>
      <c r="X506" t="inlineStr">
        <is>
          <t>2006-06-06</t>
        </is>
      </c>
      <c r="Y506" t="n">
        <v>508</v>
      </c>
      <c r="Z506" t="n">
        <v>472</v>
      </c>
      <c r="AA506" t="n">
        <v>493</v>
      </c>
      <c r="AB506" t="n">
        <v>3</v>
      </c>
      <c r="AC506" t="n">
        <v>4</v>
      </c>
      <c r="AD506" t="n">
        <v>9</v>
      </c>
      <c r="AE506" t="n">
        <v>10</v>
      </c>
      <c r="AF506" t="n">
        <v>1</v>
      </c>
      <c r="AG506" t="n">
        <v>1</v>
      </c>
      <c r="AH506" t="n">
        <v>3</v>
      </c>
      <c r="AI506" t="n">
        <v>3</v>
      </c>
      <c r="AJ506" t="n">
        <v>5</v>
      </c>
      <c r="AK506" t="n">
        <v>5</v>
      </c>
      <c r="AL506" t="n">
        <v>1</v>
      </c>
      <c r="AM506" t="n">
        <v>2</v>
      </c>
      <c r="AN506" t="n">
        <v>0</v>
      </c>
      <c r="AO506" t="n">
        <v>0</v>
      </c>
      <c r="AP506" t="inlineStr">
        <is>
          <t>No</t>
        </is>
      </c>
      <c r="AQ506" t="inlineStr">
        <is>
          <t>No</t>
        </is>
      </c>
      <c r="AS506">
        <f>HYPERLINK("https://creighton-primo.hosted.exlibrisgroup.com/primo-explore/search?tab=default_tab&amp;search_scope=EVERYTHING&amp;vid=01CRU&amp;lang=en_US&amp;offset=0&amp;query=any,contains,991004815549702656","Catalog Record")</f>
        <v/>
      </c>
      <c r="AT506">
        <f>HYPERLINK("http://www.worldcat.org/oclc/62755623","WorldCat Record")</f>
        <v/>
      </c>
      <c r="AU506" t="inlineStr">
        <is>
          <t>14397322:eng</t>
        </is>
      </c>
      <c r="AV506" t="inlineStr">
        <is>
          <t>62755623</t>
        </is>
      </c>
      <c r="AW506" t="inlineStr">
        <is>
          <t>991004815549702656</t>
        </is>
      </c>
      <c r="AX506" t="inlineStr">
        <is>
          <t>991004815549702656</t>
        </is>
      </c>
      <c r="AY506" t="inlineStr">
        <is>
          <t>2270448180002656</t>
        </is>
      </c>
      <c r="AZ506" t="inlineStr">
        <is>
          <t>BOOK</t>
        </is>
      </c>
      <c r="BB506" t="inlineStr">
        <is>
          <t>9780802170217</t>
        </is>
      </c>
      <c r="BC506" t="inlineStr">
        <is>
          <t>32285005190342</t>
        </is>
      </c>
      <c r="BD506" t="inlineStr">
        <is>
          <t>893612803</t>
        </is>
      </c>
    </row>
    <row r="507">
      <c r="A507" t="inlineStr">
        <is>
          <t>No</t>
        </is>
      </c>
      <c r="B507" t="inlineStr">
        <is>
          <t>PJ5059.E8 I87 1965</t>
        </is>
      </c>
      <c r="C507" t="inlineStr">
        <is>
          <t>0                      PJ 5059000E  8                  I  87          1965</t>
        </is>
      </c>
      <c r="D507" t="inlineStr">
        <is>
          <t>Israeli stories : a selection of the best contemporary Hebrew writing / edited by Joel Blocker; introd. by Robert Alter.</t>
        </is>
      </c>
      <c r="F507" t="inlineStr">
        <is>
          <t>No</t>
        </is>
      </c>
      <c r="G507" t="inlineStr">
        <is>
          <t>1</t>
        </is>
      </c>
      <c r="H507" t="inlineStr">
        <is>
          <t>No</t>
        </is>
      </c>
      <c r="I507" t="inlineStr">
        <is>
          <t>No</t>
        </is>
      </c>
      <c r="J507" t="inlineStr">
        <is>
          <t>0</t>
        </is>
      </c>
      <c r="L507" t="inlineStr">
        <is>
          <t>New York : Schocken Books, 1965, c1962.</t>
        </is>
      </c>
      <c r="M507" t="inlineStr">
        <is>
          <t>1965</t>
        </is>
      </c>
      <c r="O507" t="inlineStr">
        <is>
          <t>eng</t>
        </is>
      </c>
      <c r="P507" t="inlineStr">
        <is>
          <t>nyu</t>
        </is>
      </c>
      <c r="Q507" t="inlineStr">
        <is>
          <t>Schocken paperbacks ; SB108</t>
        </is>
      </c>
      <c r="R507" t="inlineStr">
        <is>
          <t xml:space="preserve">PJ </t>
        </is>
      </c>
      <c r="S507" t="n">
        <v>4</v>
      </c>
      <c r="T507" t="n">
        <v>4</v>
      </c>
      <c r="U507" t="inlineStr">
        <is>
          <t>1997-04-18</t>
        </is>
      </c>
      <c r="V507" t="inlineStr">
        <is>
          <t>1997-04-18</t>
        </is>
      </c>
      <c r="W507" t="inlineStr">
        <is>
          <t>1993-05-03</t>
        </is>
      </c>
      <c r="X507" t="inlineStr">
        <is>
          <t>1993-05-03</t>
        </is>
      </c>
      <c r="Y507" t="n">
        <v>140</v>
      </c>
      <c r="Z507" t="n">
        <v>120</v>
      </c>
      <c r="AA507" t="n">
        <v>740</v>
      </c>
      <c r="AB507" t="n">
        <v>1</v>
      </c>
      <c r="AC507" t="n">
        <v>7</v>
      </c>
      <c r="AD507" t="n">
        <v>3</v>
      </c>
      <c r="AE507" t="n">
        <v>28</v>
      </c>
      <c r="AF507" t="n">
        <v>2</v>
      </c>
      <c r="AG507" t="n">
        <v>6</v>
      </c>
      <c r="AH507" t="n">
        <v>1</v>
      </c>
      <c r="AI507" t="n">
        <v>6</v>
      </c>
      <c r="AJ507" t="n">
        <v>1</v>
      </c>
      <c r="AK507" t="n">
        <v>13</v>
      </c>
      <c r="AL507" t="n">
        <v>0</v>
      </c>
      <c r="AM507" t="n">
        <v>6</v>
      </c>
      <c r="AN507" t="n">
        <v>0</v>
      </c>
      <c r="AO507" t="n">
        <v>0</v>
      </c>
      <c r="AP507" t="inlineStr">
        <is>
          <t>No</t>
        </is>
      </c>
      <c r="AQ507" t="inlineStr">
        <is>
          <t>No</t>
        </is>
      </c>
      <c r="AS507">
        <f>HYPERLINK("https://creighton-primo.hosted.exlibrisgroup.com/primo-explore/search?tab=default_tab&amp;search_scope=EVERYTHING&amp;vid=01CRU&amp;lang=en_US&amp;offset=0&amp;query=any,contains,991004577529702656","Catalog Record")</f>
        <v/>
      </c>
      <c r="AT507">
        <f>HYPERLINK("http://www.worldcat.org/oclc/4050026","WorldCat Record")</f>
        <v/>
      </c>
      <c r="AU507" t="inlineStr">
        <is>
          <t>364148124:eng</t>
        </is>
      </c>
      <c r="AV507" t="inlineStr">
        <is>
          <t>4050026</t>
        </is>
      </c>
      <c r="AW507" t="inlineStr">
        <is>
          <t>991004577529702656</t>
        </is>
      </c>
      <c r="AX507" t="inlineStr">
        <is>
          <t>991004577529702656</t>
        </is>
      </c>
      <c r="AY507" t="inlineStr">
        <is>
          <t>2266295650002656</t>
        </is>
      </c>
      <c r="AZ507" t="inlineStr">
        <is>
          <t>BOOK</t>
        </is>
      </c>
      <c r="BC507" t="inlineStr">
        <is>
          <t>32285001670842</t>
        </is>
      </c>
      <c r="BD507" t="inlineStr">
        <is>
          <t>893331790</t>
        </is>
      </c>
    </row>
    <row r="508">
      <c r="A508" t="inlineStr">
        <is>
          <t>No</t>
        </is>
      </c>
      <c r="B508" t="inlineStr">
        <is>
          <t>PJ5059.E8 N49 1996</t>
        </is>
      </c>
      <c r="C508" t="inlineStr">
        <is>
          <t>0                      PJ 5059000E  8                  N  49          1996</t>
        </is>
      </c>
      <c r="D508" t="inlineStr">
        <is>
          <t>New women's writing from Israel / edited by Risa Domb.</t>
        </is>
      </c>
      <c r="F508" t="inlineStr">
        <is>
          <t>No</t>
        </is>
      </c>
      <c r="G508" t="inlineStr">
        <is>
          <t>1</t>
        </is>
      </c>
      <c r="H508" t="inlineStr">
        <is>
          <t>No</t>
        </is>
      </c>
      <c r="I508" t="inlineStr">
        <is>
          <t>No</t>
        </is>
      </c>
      <c r="J508" t="inlineStr">
        <is>
          <t>0</t>
        </is>
      </c>
      <c r="L508" t="inlineStr">
        <is>
          <t>London ; Portland, Or. : Vallentine Mitchell, c1996.</t>
        </is>
      </c>
      <c r="M508" t="inlineStr">
        <is>
          <t>1996</t>
        </is>
      </c>
      <c r="O508" t="inlineStr">
        <is>
          <t>eng</t>
        </is>
      </c>
      <c r="P508" t="inlineStr">
        <is>
          <t>enk</t>
        </is>
      </c>
      <c r="R508" t="inlineStr">
        <is>
          <t xml:space="preserve">PJ </t>
        </is>
      </c>
      <c r="S508" t="n">
        <v>1</v>
      </c>
      <c r="T508" t="n">
        <v>1</v>
      </c>
      <c r="U508" t="inlineStr">
        <is>
          <t>2001-06-05</t>
        </is>
      </c>
      <c r="V508" t="inlineStr">
        <is>
          <t>2001-06-05</t>
        </is>
      </c>
      <c r="W508" t="inlineStr">
        <is>
          <t>2001-06-04</t>
        </is>
      </c>
      <c r="X508" t="inlineStr">
        <is>
          <t>2001-06-04</t>
        </is>
      </c>
      <c r="Y508" t="n">
        <v>272</v>
      </c>
      <c r="Z508" t="n">
        <v>228</v>
      </c>
      <c r="AA508" t="n">
        <v>236</v>
      </c>
      <c r="AB508" t="n">
        <v>1</v>
      </c>
      <c r="AC508" t="n">
        <v>1</v>
      </c>
      <c r="AD508" t="n">
        <v>12</v>
      </c>
      <c r="AE508" t="n">
        <v>12</v>
      </c>
      <c r="AF508" t="n">
        <v>4</v>
      </c>
      <c r="AG508" t="n">
        <v>4</v>
      </c>
      <c r="AH508" t="n">
        <v>4</v>
      </c>
      <c r="AI508" t="n">
        <v>4</v>
      </c>
      <c r="AJ508" t="n">
        <v>8</v>
      </c>
      <c r="AK508" t="n">
        <v>8</v>
      </c>
      <c r="AL508" t="n">
        <v>0</v>
      </c>
      <c r="AM508" t="n">
        <v>0</v>
      </c>
      <c r="AN508" t="n">
        <v>0</v>
      </c>
      <c r="AO508" t="n">
        <v>0</v>
      </c>
      <c r="AP508" t="inlineStr">
        <is>
          <t>No</t>
        </is>
      </c>
      <c r="AQ508" t="inlineStr">
        <is>
          <t>Yes</t>
        </is>
      </c>
      <c r="AR508">
        <f>HYPERLINK("http://catalog.hathitrust.org/Record/007132590","HathiTrust Record")</f>
        <v/>
      </c>
      <c r="AS508">
        <f>HYPERLINK("https://creighton-primo.hosted.exlibrisgroup.com/primo-explore/search?tab=default_tab&amp;search_scope=EVERYTHING&amp;vid=01CRU&amp;lang=en_US&amp;offset=0&amp;query=any,contains,991003506009702656","Catalog Record")</f>
        <v/>
      </c>
      <c r="AT508">
        <f>HYPERLINK("http://www.worldcat.org/oclc/34651681","WorldCat Record")</f>
        <v/>
      </c>
      <c r="AU508" t="inlineStr">
        <is>
          <t>1029169:eng</t>
        </is>
      </c>
      <c r="AV508" t="inlineStr">
        <is>
          <t>34651681</t>
        </is>
      </c>
      <c r="AW508" t="inlineStr">
        <is>
          <t>991003506009702656</t>
        </is>
      </c>
      <c r="AX508" t="inlineStr">
        <is>
          <t>991003506009702656</t>
        </is>
      </c>
      <c r="AY508" t="inlineStr">
        <is>
          <t>2262053170002656</t>
        </is>
      </c>
      <c r="AZ508" t="inlineStr">
        <is>
          <t>BOOK</t>
        </is>
      </c>
      <c r="BB508" t="inlineStr">
        <is>
          <t>9780853033073</t>
        </is>
      </c>
      <c r="BC508" t="inlineStr">
        <is>
          <t>32285004319546</t>
        </is>
      </c>
      <c r="BD508" t="inlineStr">
        <is>
          <t>893805842</t>
        </is>
      </c>
    </row>
    <row r="509">
      <c r="A509" t="inlineStr">
        <is>
          <t>No</t>
        </is>
      </c>
      <c r="B509" t="inlineStr">
        <is>
          <t>PJ5059.E8 O96 1996</t>
        </is>
      </c>
      <c r="C509" t="inlineStr">
        <is>
          <t>0                      PJ 5059000E  8                  O  96          1996</t>
        </is>
      </c>
      <c r="D509" t="inlineStr">
        <is>
          <t>The Oxford book of Hebrew short stories / edited by Glenda Abramson.</t>
        </is>
      </c>
      <c r="F509" t="inlineStr">
        <is>
          <t>No</t>
        </is>
      </c>
      <c r="G509" t="inlineStr">
        <is>
          <t>1</t>
        </is>
      </c>
      <c r="H509" t="inlineStr">
        <is>
          <t>No</t>
        </is>
      </c>
      <c r="I509" t="inlineStr">
        <is>
          <t>No</t>
        </is>
      </c>
      <c r="J509" t="inlineStr">
        <is>
          <t>0</t>
        </is>
      </c>
      <c r="L509" t="inlineStr">
        <is>
          <t>Oxford ; New York : Oxford University Press, 1996.</t>
        </is>
      </c>
      <c r="M509" t="inlineStr">
        <is>
          <t>1996</t>
        </is>
      </c>
      <c r="O509" t="inlineStr">
        <is>
          <t>eng</t>
        </is>
      </c>
      <c r="P509" t="inlineStr">
        <is>
          <t>enk</t>
        </is>
      </c>
      <c r="R509" t="inlineStr">
        <is>
          <t xml:space="preserve">PJ </t>
        </is>
      </c>
      <c r="S509" t="n">
        <v>4</v>
      </c>
      <c r="T509" t="n">
        <v>4</v>
      </c>
      <c r="U509" t="inlineStr">
        <is>
          <t>1997-04-06</t>
        </is>
      </c>
      <c r="V509" t="inlineStr">
        <is>
          <t>1997-04-06</t>
        </is>
      </c>
      <c r="W509" t="inlineStr">
        <is>
          <t>1996-10-21</t>
        </is>
      </c>
      <c r="X509" t="inlineStr">
        <is>
          <t>1996-10-21</t>
        </is>
      </c>
      <c r="Y509" t="n">
        <v>541</v>
      </c>
      <c r="Z509" t="n">
        <v>482</v>
      </c>
      <c r="AA509" t="n">
        <v>571</v>
      </c>
      <c r="AB509" t="n">
        <v>4</v>
      </c>
      <c r="AC509" t="n">
        <v>4</v>
      </c>
      <c r="AD509" t="n">
        <v>15</v>
      </c>
      <c r="AE509" t="n">
        <v>17</v>
      </c>
      <c r="AF509" t="n">
        <v>4</v>
      </c>
      <c r="AG509" t="n">
        <v>5</v>
      </c>
      <c r="AH509" t="n">
        <v>3</v>
      </c>
      <c r="AI509" t="n">
        <v>4</v>
      </c>
      <c r="AJ509" t="n">
        <v>8</v>
      </c>
      <c r="AK509" t="n">
        <v>9</v>
      </c>
      <c r="AL509" t="n">
        <v>2</v>
      </c>
      <c r="AM509" t="n">
        <v>2</v>
      </c>
      <c r="AN509" t="n">
        <v>0</v>
      </c>
      <c r="AO509" t="n">
        <v>0</v>
      </c>
      <c r="AP509" t="inlineStr">
        <is>
          <t>No</t>
        </is>
      </c>
      <c r="AQ509" t="inlineStr">
        <is>
          <t>Yes</t>
        </is>
      </c>
      <c r="AR509">
        <f>HYPERLINK("http://catalog.hathitrust.org/Record/007132456","HathiTrust Record")</f>
        <v/>
      </c>
      <c r="AS509">
        <f>HYPERLINK("https://creighton-primo.hosted.exlibrisgroup.com/primo-explore/search?tab=default_tab&amp;search_scope=EVERYTHING&amp;vid=01CRU&amp;lang=en_US&amp;offset=0&amp;query=any,contains,991002589739702656","Catalog Record")</f>
        <v/>
      </c>
      <c r="AT509">
        <f>HYPERLINK("http://www.worldcat.org/oclc/33947495","WorldCat Record")</f>
        <v/>
      </c>
      <c r="AU509" t="inlineStr">
        <is>
          <t>155735923:eng</t>
        </is>
      </c>
      <c r="AV509" t="inlineStr">
        <is>
          <t>33947495</t>
        </is>
      </c>
      <c r="AW509" t="inlineStr">
        <is>
          <t>991002589739702656</t>
        </is>
      </c>
      <c r="AX509" t="inlineStr">
        <is>
          <t>991002589739702656</t>
        </is>
      </c>
      <c r="AY509" t="inlineStr">
        <is>
          <t>2262056380002656</t>
        </is>
      </c>
      <c r="AZ509" t="inlineStr">
        <is>
          <t>BOOK</t>
        </is>
      </c>
      <c r="BB509" t="inlineStr">
        <is>
          <t>9780192142061</t>
        </is>
      </c>
      <c r="BC509" t="inlineStr">
        <is>
          <t>32285002366879</t>
        </is>
      </c>
      <c r="BD509" t="inlineStr">
        <is>
          <t>893517480</t>
        </is>
      </c>
    </row>
    <row r="510">
      <c r="A510" t="inlineStr">
        <is>
          <t>No</t>
        </is>
      </c>
      <c r="B510" t="inlineStr">
        <is>
          <t>PJ5111 .O94 1985</t>
        </is>
      </c>
      <c r="C510" t="inlineStr">
        <is>
          <t>0                      PJ 5111000O  94          1985</t>
        </is>
      </c>
      <c r="D510" t="inlineStr">
        <is>
          <t>Origins of the Yiddish language : papers from the First Annual Oxford Winter Symposium in Yiddish Language and Literature, 15-17 December 1985 / editor, Dovid Katz.</t>
        </is>
      </c>
      <c r="F510" t="inlineStr">
        <is>
          <t>No</t>
        </is>
      </c>
      <c r="G510" t="inlineStr">
        <is>
          <t>1</t>
        </is>
      </c>
      <c r="H510" t="inlineStr">
        <is>
          <t>No</t>
        </is>
      </c>
      <c r="I510" t="inlineStr">
        <is>
          <t>No</t>
        </is>
      </c>
      <c r="J510" t="inlineStr">
        <is>
          <t>0</t>
        </is>
      </c>
      <c r="K510" t="inlineStr">
        <is>
          <t>Oxford Winter Symposium in Yiddish Language and Literature (1st : 1985)</t>
        </is>
      </c>
      <c r="L510" t="inlineStr">
        <is>
          <t>Oxford, [Oxfordshire] ; New York : Pergamon Press, 1987.</t>
        </is>
      </c>
      <c r="M510" t="inlineStr">
        <is>
          <t>1987</t>
        </is>
      </c>
      <c r="N510" t="inlineStr">
        <is>
          <t>1st ed.</t>
        </is>
      </c>
      <c r="O510" t="inlineStr">
        <is>
          <t>eng</t>
        </is>
      </c>
      <c r="P510" t="inlineStr">
        <is>
          <t>enk</t>
        </is>
      </c>
      <c r="Q510" t="inlineStr">
        <is>
          <t>Winter studies in Yiddish ; v. 1</t>
        </is>
      </c>
      <c r="R510" t="inlineStr">
        <is>
          <t xml:space="preserve">PJ </t>
        </is>
      </c>
      <c r="S510" t="n">
        <v>5</v>
      </c>
      <c r="T510" t="n">
        <v>5</v>
      </c>
      <c r="U510" t="inlineStr">
        <is>
          <t>1996-12-04</t>
        </is>
      </c>
      <c r="V510" t="inlineStr">
        <is>
          <t>1996-12-04</t>
        </is>
      </c>
      <c r="W510" t="inlineStr">
        <is>
          <t>1992-03-24</t>
        </is>
      </c>
      <c r="X510" t="inlineStr">
        <is>
          <t>1992-03-24</t>
        </is>
      </c>
      <c r="Y510" t="n">
        <v>162</v>
      </c>
      <c r="Z510" t="n">
        <v>110</v>
      </c>
      <c r="AA510" t="n">
        <v>115</v>
      </c>
      <c r="AB510" t="n">
        <v>2</v>
      </c>
      <c r="AC510" t="n">
        <v>2</v>
      </c>
      <c r="AD510" t="n">
        <v>2</v>
      </c>
      <c r="AE510" t="n">
        <v>2</v>
      </c>
      <c r="AF510" t="n">
        <v>0</v>
      </c>
      <c r="AG510" t="n">
        <v>0</v>
      </c>
      <c r="AH510" t="n">
        <v>1</v>
      </c>
      <c r="AI510" t="n">
        <v>1</v>
      </c>
      <c r="AJ510" t="n">
        <v>1</v>
      </c>
      <c r="AK510" t="n">
        <v>1</v>
      </c>
      <c r="AL510" t="n">
        <v>1</v>
      </c>
      <c r="AM510" t="n">
        <v>1</v>
      </c>
      <c r="AN510" t="n">
        <v>0</v>
      </c>
      <c r="AO510" t="n">
        <v>0</v>
      </c>
      <c r="AP510" t="inlineStr">
        <is>
          <t>No</t>
        </is>
      </c>
      <c r="AQ510" t="inlineStr">
        <is>
          <t>Yes</t>
        </is>
      </c>
      <c r="AR510">
        <f>HYPERLINK("http://catalog.hathitrust.org/Record/001077865","HathiTrust Record")</f>
        <v/>
      </c>
      <c r="AS510">
        <f>HYPERLINK("https://creighton-primo.hosted.exlibrisgroup.com/primo-explore/search?tab=default_tab&amp;search_scope=EVERYTHING&amp;vid=01CRU&amp;lang=en_US&amp;offset=0&amp;query=any,contains,991001032899702656","Catalog Record")</f>
        <v/>
      </c>
      <c r="AT510">
        <f>HYPERLINK("http://www.worldcat.org/oclc/15520389","WorldCat Record")</f>
        <v/>
      </c>
      <c r="AU510" t="inlineStr">
        <is>
          <t>371660320:eng</t>
        </is>
      </c>
      <c r="AV510" t="inlineStr">
        <is>
          <t>15520389</t>
        </is>
      </c>
      <c r="AW510" t="inlineStr">
        <is>
          <t>991001032899702656</t>
        </is>
      </c>
      <c r="AX510" t="inlineStr">
        <is>
          <t>991001032899702656</t>
        </is>
      </c>
      <c r="AY510" t="inlineStr">
        <is>
          <t>2270914130002656</t>
        </is>
      </c>
      <c r="AZ510" t="inlineStr">
        <is>
          <t>BOOK</t>
        </is>
      </c>
      <c r="BB510" t="inlineStr">
        <is>
          <t>9780080341569</t>
        </is>
      </c>
      <c r="BC510" t="inlineStr">
        <is>
          <t>32285001028744</t>
        </is>
      </c>
      <c r="BD510" t="inlineStr">
        <is>
          <t>893589967</t>
        </is>
      </c>
    </row>
    <row r="511">
      <c r="A511" t="inlineStr">
        <is>
          <t>No</t>
        </is>
      </c>
      <c r="B511" t="inlineStr">
        <is>
          <t>PJ5111 .P47 1996</t>
        </is>
      </c>
      <c r="C511" t="inlineStr">
        <is>
          <t>0                      PJ 5111000P  47          1996</t>
        </is>
      </c>
      <c r="D511" t="inlineStr">
        <is>
          <t>Yiddish language &amp; culture then &amp; now / Leonard Jay Greenspoon, editor.</t>
        </is>
      </c>
      <c r="F511" t="inlineStr">
        <is>
          <t>No</t>
        </is>
      </c>
      <c r="G511" t="inlineStr">
        <is>
          <t>1</t>
        </is>
      </c>
      <c r="H511" t="inlineStr">
        <is>
          <t>No</t>
        </is>
      </c>
      <c r="I511" t="inlineStr">
        <is>
          <t>No</t>
        </is>
      </c>
      <c r="J511" t="inlineStr">
        <is>
          <t>0</t>
        </is>
      </c>
      <c r="K511" t="inlineStr">
        <is>
          <t>Philip M. and Ethel Klutznick Chair in Jewish Civilization. Symposium (9th : 1996 : Creighton University)</t>
        </is>
      </c>
      <c r="L511" t="inlineStr">
        <is>
          <t>Omaha, Neb. : Creighton University Press ; Bronx, N.Y. : Fordham University Press [distributor], c1998.</t>
        </is>
      </c>
      <c r="M511" t="inlineStr">
        <is>
          <t>1996</t>
        </is>
      </c>
      <c r="O511" t="inlineStr">
        <is>
          <t>eng</t>
        </is>
      </c>
      <c r="P511" t="inlineStr">
        <is>
          <t>nbu</t>
        </is>
      </c>
      <c r="Q511" t="inlineStr">
        <is>
          <t>Studies in Jewish civilization ; 9</t>
        </is>
      </c>
      <c r="R511" t="inlineStr">
        <is>
          <t xml:space="preserve">PJ </t>
        </is>
      </c>
      <c r="S511" t="n">
        <v>2</v>
      </c>
      <c r="T511" t="n">
        <v>2</v>
      </c>
      <c r="U511" t="inlineStr">
        <is>
          <t>2006-03-20</t>
        </is>
      </c>
      <c r="V511" t="inlineStr">
        <is>
          <t>2006-03-20</t>
        </is>
      </c>
      <c r="W511" t="inlineStr">
        <is>
          <t>1999-04-29</t>
        </is>
      </c>
      <c r="X511" t="inlineStr">
        <is>
          <t>1999-04-29</t>
        </is>
      </c>
      <c r="Y511" t="n">
        <v>173</v>
      </c>
      <c r="Z511" t="n">
        <v>150</v>
      </c>
      <c r="AA511" t="n">
        <v>963</v>
      </c>
      <c r="AB511" t="n">
        <v>3</v>
      </c>
      <c r="AC511" t="n">
        <v>6</v>
      </c>
      <c r="AD511" t="n">
        <v>9</v>
      </c>
      <c r="AE511" t="n">
        <v>24</v>
      </c>
      <c r="AF511" t="n">
        <v>0</v>
      </c>
      <c r="AG511" t="n">
        <v>9</v>
      </c>
      <c r="AH511" t="n">
        <v>5</v>
      </c>
      <c r="AI511" t="n">
        <v>6</v>
      </c>
      <c r="AJ511" t="n">
        <v>5</v>
      </c>
      <c r="AK511" t="n">
        <v>10</v>
      </c>
      <c r="AL511" t="n">
        <v>2</v>
      </c>
      <c r="AM511" t="n">
        <v>5</v>
      </c>
      <c r="AN511" t="n">
        <v>0</v>
      </c>
      <c r="AO511" t="n">
        <v>0</v>
      </c>
      <c r="AP511" t="inlineStr">
        <is>
          <t>No</t>
        </is>
      </c>
      <c r="AQ511" t="inlineStr">
        <is>
          <t>Yes</t>
        </is>
      </c>
      <c r="AR511">
        <f>HYPERLINK("http://catalog.hathitrust.org/Record/003951076","HathiTrust Record")</f>
        <v/>
      </c>
      <c r="AS511">
        <f>HYPERLINK("https://creighton-primo.hosted.exlibrisgroup.com/primo-explore/search?tab=default_tab&amp;search_scope=EVERYTHING&amp;vid=01CRU&amp;lang=en_US&amp;offset=0&amp;query=any,contains,991003019199702656","Catalog Record")</f>
        <v/>
      </c>
      <c r="AT511">
        <f>HYPERLINK("http://www.worldcat.org/oclc/41104307","WorldCat Record")</f>
        <v/>
      </c>
      <c r="AU511" t="inlineStr">
        <is>
          <t>645427:eng</t>
        </is>
      </c>
      <c r="AV511" t="inlineStr">
        <is>
          <t>41104307</t>
        </is>
      </c>
      <c r="AW511" t="inlineStr">
        <is>
          <t>991003019199702656</t>
        </is>
      </c>
      <c r="AX511" t="inlineStr">
        <is>
          <t>991003019199702656</t>
        </is>
      </c>
      <c r="AY511" t="inlineStr">
        <is>
          <t>2261925580002656</t>
        </is>
      </c>
      <c r="AZ511" t="inlineStr">
        <is>
          <t>BOOK</t>
        </is>
      </c>
      <c r="BB511" t="inlineStr">
        <is>
          <t>9781881871255</t>
        </is>
      </c>
      <c r="BC511" t="inlineStr">
        <is>
          <t>32285003557849</t>
        </is>
      </c>
      <c r="BD511" t="inlineStr">
        <is>
          <t>893329859</t>
        </is>
      </c>
    </row>
    <row r="512">
      <c r="A512" t="inlineStr">
        <is>
          <t>No</t>
        </is>
      </c>
      <c r="B512" t="inlineStr">
        <is>
          <t>PJ5113 .W44 2001</t>
        </is>
      </c>
      <c r="C512" t="inlineStr">
        <is>
          <t>0                      PJ 5113000W  44          2001</t>
        </is>
      </c>
      <c r="D512" t="inlineStr">
        <is>
          <t>Yiddish : a nation of words / Miriam Weinstein.</t>
        </is>
      </c>
      <c r="F512" t="inlineStr">
        <is>
          <t>No</t>
        </is>
      </c>
      <c r="G512" t="inlineStr">
        <is>
          <t>1</t>
        </is>
      </c>
      <c r="H512" t="inlineStr">
        <is>
          <t>No</t>
        </is>
      </c>
      <c r="I512" t="inlineStr">
        <is>
          <t>No</t>
        </is>
      </c>
      <c r="J512" t="inlineStr">
        <is>
          <t>0</t>
        </is>
      </c>
      <c r="K512" t="inlineStr">
        <is>
          <t>Weinstein, Miriam.</t>
        </is>
      </c>
      <c r="L512" t="inlineStr">
        <is>
          <t>South Royalton Vermont : Steerforth Press, c2001.</t>
        </is>
      </c>
      <c r="M512" t="inlineStr">
        <is>
          <t>2001</t>
        </is>
      </c>
      <c r="N512" t="inlineStr">
        <is>
          <t>1st ed.</t>
        </is>
      </c>
      <c r="O512" t="inlineStr">
        <is>
          <t>eng</t>
        </is>
      </c>
      <c r="P512" t="inlineStr">
        <is>
          <t>vtu</t>
        </is>
      </c>
      <c r="R512" t="inlineStr">
        <is>
          <t xml:space="preserve">PJ </t>
        </is>
      </c>
      <c r="S512" t="n">
        <v>1</v>
      </c>
      <c r="T512" t="n">
        <v>1</v>
      </c>
      <c r="U512" t="inlineStr">
        <is>
          <t>2005-12-21</t>
        </is>
      </c>
      <c r="V512" t="inlineStr">
        <is>
          <t>2005-12-21</t>
        </is>
      </c>
      <c r="W512" t="inlineStr">
        <is>
          <t>2005-12-21</t>
        </is>
      </c>
      <c r="X512" t="inlineStr">
        <is>
          <t>2005-12-21</t>
        </is>
      </c>
      <c r="Y512" t="n">
        <v>461</v>
      </c>
      <c r="Z512" t="n">
        <v>426</v>
      </c>
      <c r="AA512" t="n">
        <v>508</v>
      </c>
      <c r="AB512" t="n">
        <v>5</v>
      </c>
      <c r="AC512" t="n">
        <v>6</v>
      </c>
      <c r="AD512" t="n">
        <v>15</v>
      </c>
      <c r="AE512" t="n">
        <v>16</v>
      </c>
      <c r="AF512" t="n">
        <v>5</v>
      </c>
      <c r="AG512" t="n">
        <v>5</v>
      </c>
      <c r="AH512" t="n">
        <v>5</v>
      </c>
      <c r="AI512" t="n">
        <v>5</v>
      </c>
      <c r="AJ512" t="n">
        <v>7</v>
      </c>
      <c r="AK512" t="n">
        <v>7</v>
      </c>
      <c r="AL512" t="n">
        <v>3</v>
      </c>
      <c r="AM512" t="n">
        <v>4</v>
      </c>
      <c r="AN512" t="n">
        <v>0</v>
      </c>
      <c r="AO512" t="n">
        <v>0</v>
      </c>
      <c r="AP512" t="inlineStr">
        <is>
          <t>No</t>
        </is>
      </c>
      <c r="AQ512" t="inlineStr">
        <is>
          <t>Yes</t>
        </is>
      </c>
      <c r="AR512">
        <f>HYPERLINK("http://catalog.hathitrust.org/Record/003569011","HathiTrust Record")</f>
        <v/>
      </c>
      <c r="AS512">
        <f>HYPERLINK("https://creighton-primo.hosted.exlibrisgroup.com/primo-explore/search?tab=default_tab&amp;search_scope=EVERYTHING&amp;vid=01CRU&amp;lang=en_US&amp;offset=0&amp;query=any,contains,991004705419702656","Catalog Record")</f>
        <v/>
      </c>
      <c r="AT512">
        <f>HYPERLINK("http://www.worldcat.org/oclc/46937428","WorldCat Record")</f>
        <v/>
      </c>
      <c r="AU512" t="inlineStr">
        <is>
          <t>877322:eng</t>
        </is>
      </c>
      <c r="AV512" t="inlineStr">
        <is>
          <t>46937428</t>
        </is>
      </c>
      <c r="AW512" t="inlineStr">
        <is>
          <t>991004705419702656</t>
        </is>
      </c>
      <c r="AX512" t="inlineStr">
        <is>
          <t>991004705419702656</t>
        </is>
      </c>
      <c r="AY512" t="inlineStr">
        <is>
          <t>2266613340002656</t>
        </is>
      </c>
      <c r="AZ512" t="inlineStr">
        <is>
          <t>BOOK</t>
        </is>
      </c>
      <c r="BB512" t="inlineStr">
        <is>
          <t>9781586420277</t>
        </is>
      </c>
      <c r="BC512" t="inlineStr">
        <is>
          <t>32285005153415</t>
        </is>
      </c>
      <c r="BD512" t="inlineStr">
        <is>
          <t>893606363</t>
        </is>
      </c>
    </row>
    <row r="513">
      <c r="A513" t="inlineStr">
        <is>
          <t>No</t>
        </is>
      </c>
      <c r="B513" t="inlineStr">
        <is>
          <t>PJ5116 .B56 2000</t>
        </is>
      </c>
      <c r="C513" t="inlineStr">
        <is>
          <t>0                      PJ 5116000B  56          2000</t>
        </is>
      </c>
      <c r="D513" t="inlineStr">
        <is>
          <t>The complete idiot's guide to learning Yiddish / by Benjamin Blech.</t>
        </is>
      </c>
      <c r="F513" t="inlineStr">
        <is>
          <t>No</t>
        </is>
      </c>
      <c r="G513" t="inlineStr">
        <is>
          <t>1</t>
        </is>
      </c>
      <c r="H513" t="inlineStr">
        <is>
          <t>No</t>
        </is>
      </c>
      <c r="I513" t="inlineStr">
        <is>
          <t>No</t>
        </is>
      </c>
      <c r="J513" t="inlineStr">
        <is>
          <t>0</t>
        </is>
      </c>
      <c r="K513" t="inlineStr">
        <is>
          <t>Blech, Benjamin.</t>
        </is>
      </c>
      <c r="L513" t="inlineStr">
        <is>
          <t>Indianapolis, IN : Alpha Books, c2000.</t>
        </is>
      </c>
      <c r="M513" t="inlineStr">
        <is>
          <t>2000</t>
        </is>
      </c>
      <c r="O513" t="inlineStr">
        <is>
          <t>eng</t>
        </is>
      </c>
      <c r="P513" t="inlineStr">
        <is>
          <t>inu</t>
        </is>
      </c>
      <c r="R513" t="inlineStr">
        <is>
          <t xml:space="preserve">PJ </t>
        </is>
      </c>
      <c r="S513" t="n">
        <v>2</v>
      </c>
      <c r="T513" t="n">
        <v>2</v>
      </c>
      <c r="U513" t="inlineStr">
        <is>
          <t>2010-05-03</t>
        </is>
      </c>
      <c r="V513" t="inlineStr">
        <is>
          <t>2010-05-03</t>
        </is>
      </c>
      <c r="W513" t="inlineStr">
        <is>
          <t>2005-07-20</t>
        </is>
      </c>
      <c r="X513" t="inlineStr">
        <is>
          <t>2005-07-20</t>
        </is>
      </c>
      <c r="Y513" t="n">
        <v>231</v>
      </c>
      <c r="Z513" t="n">
        <v>208</v>
      </c>
      <c r="AA513" t="n">
        <v>1103</v>
      </c>
      <c r="AB513" t="n">
        <v>3</v>
      </c>
      <c r="AC513" t="n">
        <v>4</v>
      </c>
      <c r="AD513" t="n">
        <v>2</v>
      </c>
      <c r="AE513" t="n">
        <v>15</v>
      </c>
      <c r="AF513" t="n">
        <v>1</v>
      </c>
      <c r="AG513" t="n">
        <v>8</v>
      </c>
      <c r="AH513" t="n">
        <v>0</v>
      </c>
      <c r="AI513" t="n">
        <v>3</v>
      </c>
      <c r="AJ513" t="n">
        <v>0</v>
      </c>
      <c r="AK513" t="n">
        <v>3</v>
      </c>
      <c r="AL513" t="n">
        <v>1</v>
      </c>
      <c r="AM513" t="n">
        <v>2</v>
      </c>
      <c r="AN513" t="n">
        <v>0</v>
      </c>
      <c r="AO513" t="n">
        <v>0</v>
      </c>
      <c r="AP513" t="inlineStr">
        <is>
          <t>No</t>
        </is>
      </c>
      <c r="AQ513" t="inlineStr">
        <is>
          <t>No</t>
        </is>
      </c>
      <c r="AS513">
        <f>HYPERLINK("https://creighton-primo.hosted.exlibrisgroup.com/primo-explore/search?tab=default_tab&amp;search_scope=EVERYTHING&amp;vid=01CRU&amp;lang=en_US&amp;offset=0&amp;query=any,contains,991004611249702656","Catalog Record")</f>
        <v/>
      </c>
      <c r="AT513">
        <f>HYPERLINK("http://www.worldcat.org/oclc/43902009","WorldCat Record")</f>
        <v/>
      </c>
      <c r="AU513" t="inlineStr">
        <is>
          <t>2452801133:eng</t>
        </is>
      </c>
      <c r="AV513" t="inlineStr">
        <is>
          <t>43902009</t>
        </is>
      </c>
      <c r="AW513" t="inlineStr">
        <is>
          <t>991004611249702656</t>
        </is>
      </c>
      <c r="AX513" t="inlineStr">
        <is>
          <t>991004611249702656</t>
        </is>
      </c>
      <c r="AY513" t="inlineStr">
        <is>
          <t>2261310710002656</t>
        </is>
      </c>
      <c r="AZ513" t="inlineStr">
        <is>
          <t>BOOK</t>
        </is>
      </c>
      <c r="BB513" t="inlineStr">
        <is>
          <t>9780028633879</t>
        </is>
      </c>
      <c r="BC513" t="inlineStr">
        <is>
          <t>32285005096770</t>
        </is>
      </c>
      <c r="BD513" t="inlineStr">
        <is>
          <t>893442821</t>
        </is>
      </c>
    </row>
    <row r="514">
      <c r="A514" t="inlineStr">
        <is>
          <t>No</t>
        </is>
      </c>
      <c r="B514" t="inlineStr">
        <is>
          <t>PJ5117 .K58 1967</t>
        </is>
      </c>
      <c r="C514" t="inlineStr">
        <is>
          <t>0                      PJ 5117000K  58          1967</t>
        </is>
      </c>
      <c r="D514" t="inlineStr">
        <is>
          <t>A dictionary of Yiddish slang &amp; idioms / Fred Kogos.</t>
        </is>
      </c>
      <c r="F514" t="inlineStr">
        <is>
          <t>No</t>
        </is>
      </c>
      <c r="G514" t="inlineStr">
        <is>
          <t>1</t>
        </is>
      </c>
      <c r="H514" t="inlineStr">
        <is>
          <t>No</t>
        </is>
      </c>
      <c r="I514" t="inlineStr">
        <is>
          <t>No</t>
        </is>
      </c>
      <c r="J514" t="inlineStr">
        <is>
          <t>0</t>
        </is>
      </c>
      <c r="K514" t="inlineStr">
        <is>
          <t>Kogos, Fred.</t>
        </is>
      </c>
      <c r="L514" t="inlineStr">
        <is>
          <t>New York : Citadel Press, [1967].</t>
        </is>
      </c>
      <c r="M514" t="inlineStr">
        <is>
          <t>1967</t>
        </is>
      </c>
      <c r="N514" t="inlineStr">
        <is>
          <t>[1st ed.]</t>
        </is>
      </c>
      <c r="O514" t="inlineStr">
        <is>
          <t>eng</t>
        </is>
      </c>
      <c r="P514" t="inlineStr">
        <is>
          <t>nyu</t>
        </is>
      </c>
      <c r="R514" t="inlineStr">
        <is>
          <t xml:space="preserve">PJ </t>
        </is>
      </c>
      <c r="S514" t="n">
        <v>14</v>
      </c>
      <c r="T514" t="n">
        <v>14</v>
      </c>
      <c r="U514" t="inlineStr">
        <is>
          <t>1998-08-19</t>
        </is>
      </c>
      <c r="V514" t="inlineStr">
        <is>
          <t>1998-08-19</t>
        </is>
      </c>
      <c r="W514" t="inlineStr">
        <is>
          <t>1993-05-03</t>
        </is>
      </c>
      <c r="X514" t="inlineStr">
        <is>
          <t>1993-05-03</t>
        </is>
      </c>
      <c r="Y514" t="n">
        <v>337</v>
      </c>
      <c r="Z514" t="n">
        <v>306</v>
      </c>
      <c r="AA514" t="n">
        <v>439</v>
      </c>
      <c r="AB514" t="n">
        <v>2</v>
      </c>
      <c r="AC514" t="n">
        <v>3</v>
      </c>
      <c r="AD514" t="n">
        <v>5</v>
      </c>
      <c r="AE514" t="n">
        <v>7</v>
      </c>
      <c r="AF514" t="n">
        <v>3</v>
      </c>
      <c r="AG514" t="n">
        <v>4</v>
      </c>
      <c r="AH514" t="n">
        <v>0</v>
      </c>
      <c r="AI514" t="n">
        <v>0</v>
      </c>
      <c r="AJ514" t="n">
        <v>2</v>
      </c>
      <c r="AK514" t="n">
        <v>4</v>
      </c>
      <c r="AL514" t="n">
        <v>1</v>
      </c>
      <c r="AM514" t="n">
        <v>1</v>
      </c>
      <c r="AN514" t="n">
        <v>0</v>
      </c>
      <c r="AO514" t="n">
        <v>0</v>
      </c>
      <c r="AP514" t="inlineStr">
        <is>
          <t>No</t>
        </is>
      </c>
      <c r="AQ514" t="inlineStr">
        <is>
          <t>Yes</t>
        </is>
      </c>
      <c r="AR514">
        <f>HYPERLINK("http://catalog.hathitrust.org/Record/101860506","HathiTrust Record")</f>
        <v/>
      </c>
      <c r="AS514">
        <f>HYPERLINK("https://creighton-primo.hosted.exlibrisgroup.com/primo-explore/search?tab=default_tab&amp;search_scope=EVERYTHING&amp;vid=01CRU&amp;lang=en_US&amp;offset=0&amp;query=any,contains,991000249279702656","Catalog Record")</f>
        <v/>
      </c>
      <c r="AT514">
        <f>HYPERLINK("http://www.worldcat.org/oclc/9738824","WorldCat Record")</f>
        <v/>
      </c>
      <c r="AU514" t="inlineStr">
        <is>
          <t>1508625:eng</t>
        </is>
      </c>
      <c r="AV514" t="inlineStr">
        <is>
          <t>9738824</t>
        </is>
      </c>
      <c r="AW514" t="inlineStr">
        <is>
          <t>991000249279702656</t>
        </is>
      </c>
      <c r="AX514" t="inlineStr">
        <is>
          <t>991000249279702656</t>
        </is>
      </c>
      <c r="AY514" t="inlineStr">
        <is>
          <t>2267527770002656</t>
        </is>
      </c>
      <c r="AZ514" t="inlineStr">
        <is>
          <t>BOOK</t>
        </is>
      </c>
      <c r="BC514" t="inlineStr">
        <is>
          <t>32285001670867</t>
        </is>
      </c>
      <c r="BD514" t="inlineStr">
        <is>
          <t>893884254</t>
        </is>
      </c>
    </row>
    <row r="515">
      <c r="A515" t="inlineStr">
        <is>
          <t>No</t>
        </is>
      </c>
      <c r="B515" t="inlineStr">
        <is>
          <t>PJ5120.5 .H65 1975</t>
        </is>
      </c>
      <c r="C515" t="inlineStr">
        <is>
          <t>0                      PJ 5120500H  65          1975</t>
        </is>
      </c>
      <c r="D515" t="inlineStr">
        <is>
          <t>Voices from the Yiddish : essays, memoirs, diaries / edited by Irving Howe and Eliezer Greenberg.</t>
        </is>
      </c>
      <c r="F515" t="inlineStr">
        <is>
          <t>No</t>
        </is>
      </c>
      <c r="G515" t="inlineStr">
        <is>
          <t>1</t>
        </is>
      </c>
      <c r="H515" t="inlineStr">
        <is>
          <t>No</t>
        </is>
      </c>
      <c r="I515" t="inlineStr">
        <is>
          <t>No</t>
        </is>
      </c>
      <c r="J515" t="inlineStr">
        <is>
          <t>0</t>
        </is>
      </c>
      <c r="K515" t="inlineStr">
        <is>
          <t>Howe, Irving, compiler.</t>
        </is>
      </c>
      <c r="L515" t="inlineStr">
        <is>
          <t>New York : Schocken Books, 1975, c1972.</t>
        </is>
      </c>
      <c r="M515" t="inlineStr">
        <is>
          <t>1975</t>
        </is>
      </c>
      <c r="O515" t="inlineStr">
        <is>
          <t>eng</t>
        </is>
      </c>
      <c r="P515" t="inlineStr">
        <is>
          <t>nyu</t>
        </is>
      </c>
      <c r="R515" t="inlineStr">
        <is>
          <t xml:space="preserve">PJ </t>
        </is>
      </c>
      <c r="S515" t="n">
        <v>1</v>
      </c>
      <c r="T515" t="n">
        <v>1</v>
      </c>
      <c r="U515" t="inlineStr">
        <is>
          <t>2005-02-04</t>
        </is>
      </c>
      <c r="V515" t="inlineStr">
        <is>
          <t>2005-02-04</t>
        </is>
      </c>
      <c r="W515" t="inlineStr">
        <is>
          <t>1993-05-03</t>
        </is>
      </c>
      <c r="X515" t="inlineStr">
        <is>
          <t>1993-05-03</t>
        </is>
      </c>
      <c r="Y515" t="n">
        <v>91</v>
      </c>
      <c r="Z515" t="n">
        <v>69</v>
      </c>
      <c r="AA515" t="n">
        <v>649</v>
      </c>
      <c r="AB515" t="n">
        <v>1</v>
      </c>
      <c r="AC515" t="n">
        <v>7</v>
      </c>
      <c r="AD515" t="n">
        <v>7</v>
      </c>
      <c r="AE515" t="n">
        <v>27</v>
      </c>
      <c r="AF515" t="n">
        <v>4</v>
      </c>
      <c r="AG515" t="n">
        <v>12</v>
      </c>
      <c r="AH515" t="n">
        <v>1</v>
      </c>
      <c r="AI515" t="n">
        <v>3</v>
      </c>
      <c r="AJ515" t="n">
        <v>4</v>
      </c>
      <c r="AK515" t="n">
        <v>12</v>
      </c>
      <c r="AL515" t="n">
        <v>0</v>
      </c>
      <c r="AM515" t="n">
        <v>5</v>
      </c>
      <c r="AN515" t="n">
        <v>0</v>
      </c>
      <c r="AO515" t="n">
        <v>0</v>
      </c>
      <c r="AP515" t="inlineStr">
        <is>
          <t>No</t>
        </is>
      </c>
      <c r="AQ515" t="inlineStr">
        <is>
          <t>Yes</t>
        </is>
      </c>
      <c r="AR515">
        <f>HYPERLINK("http://catalog.hathitrust.org/Record/007144058","HathiTrust Record")</f>
        <v/>
      </c>
      <c r="AS515">
        <f>HYPERLINK("https://creighton-primo.hosted.exlibrisgroup.com/primo-explore/search?tab=default_tab&amp;search_scope=EVERYTHING&amp;vid=01CRU&amp;lang=en_US&amp;offset=0&amp;query=any,contains,991003719419702656","Catalog Record")</f>
        <v/>
      </c>
      <c r="AT515">
        <f>HYPERLINK("http://www.worldcat.org/oclc/1365115","WorldCat Record")</f>
        <v/>
      </c>
      <c r="AU515" t="inlineStr">
        <is>
          <t>460396:eng</t>
        </is>
      </c>
      <c r="AV515" t="inlineStr">
        <is>
          <t>1365115</t>
        </is>
      </c>
      <c r="AW515" t="inlineStr">
        <is>
          <t>991003719419702656</t>
        </is>
      </c>
      <c r="AX515" t="inlineStr">
        <is>
          <t>991003719419702656</t>
        </is>
      </c>
      <c r="AY515" t="inlineStr">
        <is>
          <t>2256233070002656</t>
        </is>
      </c>
      <c r="AZ515" t="inlineStr">
        <is>
          <t>BOOK</t>
        </is>
      </c>
      <c r="BB515" t="inlineStr">
        <is>
          <t>9780805204957</t>
        </is>
      </c>
      <c r="BC515" t="inlineStr">
        <is>
          <t>32285001670883</t>
        </is>
      </c>
      <c r="BD515" t="inlineStr">
        <is>
          <t>893342924</t>
        </is>
      </c>
    </row>
    <row r="516">
      <c r="A516" t="inlineStr">
        <is>
          <t>No</t>
        </is>
      </c>
      <c r="B516" t="inlineStr">
        <is>
          <t>PJ5129.G535 K513 1993</t>
        </is>
      </c>
      <c r="C516" t="inlineStr">
        <is>
          <t>0                      PJ 5129000G  535                K  513         1993</t>
        </is>
      </c>
      <c r="D516" t="inlineStr">
        <is>
          <t>I keep recalling : the Holocaust poems of Jacob Glatstein / translated from the Yiddish by Barnett Zumoff ; with an introduction by Emanuel S. Goldsmith ; illustrations by Yonia Fain.</t>
        </is>
      </c>
      <c r="F516" t="inlineStr">
        <is>
          <t>No</t>
        </is>
      </c>
      <c r="G516" t="inlineStr">
        <is>
          <t>1</t>
        </is>
      </c>
      <c r="H516" t="inlineStr">
        <is>
          <t>No</t>
        </is>
      </c>
      <c r="I516" t="inlineStr">
        <is>
          <t>No</t>
        </is>
      </c>
      <c r="J516" t="inlineStr">
        <is>
          <t>0</t>
        </is>
      </c>
      <c r="K516" t="inlineStr">
        <is>
          <t>Glatstein, Jacob, 1896-1971.</t>
        </is>
      </c>
      <c r="L516" t="inlineStr">
        <is>
          <t>[Hoboken, NJ] : Ktav Pub. House, c1993.</t>
        </is>
      </c>
      <c r="M516" t="inlineStr">
        <is>
          <t>1993</t>
        </is>
      </c>
      <c r="O516" t="inlineStr">
        <is>
          <t>eng</t>
        </is>
      </c>
      <c r="P516" t="inlineStr">
        <is>
          <t>nju</t>
        </is>
      </c>
      <c r="R516" t="inlineStr">
        <is>
          <t xml:space="preserve">PJ </t>
        </is>
      </c>
      <c r="S516" t="n">
        <v>1</v>
      </c>
      <c r="T516" t="n">
        <v>1</v>
      </c>
      <c r="U516" t="inlineStr">
        <is>
          <t>2009-02-02</t>
        </is>
      </c>
      <c r="V516" t="inlineStr">
        <is>
          <t>2009-02-02</t>
        </is>
      </c>
      <c r="W516" t="inlineStr">
        <is>
          <t>1994-03-22</t>
        </is>
      </c>
      <c r="X516" t="inlineStr">
        <is>
          <t>1994-03-22</t>
        </is>
      </c>
      <c r="Y516" t="n">
        <v>268</v>
      </c>
      <c r="Z516" t="n">
        <v>247</v>
      </c>
      <c r="AA516" t="n">
        <v>254</v>
      </c>
      <c r="AB516" t="n">
        <v>3</v>
      </c>
      <c r="AC516" t="n">
        <v>3</v>
      </c>
      <c r="AD516" t="n">
        <v>11</v>
      </c>
      <c r="AE516" t="n">
        <v>11</v>
      </c>
      <c r="AF516" t="n">
        <v>2</v>
      </c>
      <c r="AG516" t="n">
        <v>2</v>
      </c>
      <c r="AH516" t="n">
        <v>4</v>
      </c>
      <c r="AI516" t="n">
        <v>4</v>
      </c>
      <c r="AJ516" t="n">
        <v>4</v>
      </c>
      <c r="AK516" t="n">
        <v>4</v>
      </c>
      <c r="AL516" t="n">
        <v>2</v>
      </c>
      <c r="AM516" t="n">
        <v>2</v>
      </c>
      <c r="AN516" t="n">
        <v>0</v>
      </c>
      <c r="AO516" t="n">
        <v>0</v>
      </c>
      <c r="AP516" t="inlineStr">
        <is>
          <t>No</t>
        </is>
      </c>
      <c r="AQ516" t="inlineStr">
        <is>
          <t>Yes</t>
        </is>
      </c>
      <c r="AR516">
        <f>HYPERLINK("http://catalog.hathitrust.org/Record/002953991","HathiTrust Record")</f>
        <v/>
      </c>
      <c r="AS516">
        <f>HYPERLINK("https://creighton-primo.hosted.exlibrisgroup.com/primo-explore/search?tab=default_tab&amp;search_scope=EVERYTHING&amp;vid=01CRU&amp;lang=en_US&amp;offset=0&amp;query=any,contains,991002072429702656","Catalog Record")</f>
        <v/>
      </c>
      <c r="AT516">
        <f>HYPERLINK("http://www.worldcat.org/oclc/26547799","WorldCat Record")</f>
        <v/>
      </c>
      <c r="AU516" t="inlineStr">
        <is>
          <t>1807975587:eng</t>
        </is>
      </c>
      <c r="AV516" t="inlineStr">
        <is>
          <t>26547799</t>
        </is>
      </c>
      <c r="AW516" t="inlineStr">
        <is>
          <t>991002072429702656</t>
        </is>
      </c>
      <c r="AX516" t="inlineStr">
        <is>
          <t>991002072429702656</t>
        </is>
      </c>
      <c r="AY516" t="inlineStr">
        <is>
          <t>2260175380002656</t>
        </is>
      </c>
      <c r="AZ516" t="inlineStr">
        <is>
          <t>BOOK</t>
        </is>
      </c>
      <c r="BB516" t="inlineStr">
        <is>
          <t>9780881254297</t>
        </is>
      </c>
      <c r="BC516" t="inlineStr">
        <is>
          <t>32285001857258</t>
        </is>
      </c>
      <c r="BD516" t="inlineStr">
        <is>
          <t>893238606</t>
        </is>
      </c>
    </row>
    <row r="517">
      <c r="A517" t="inlineStr">
        <is>
          <t>No</t>
        </is>
      </c>
      <c r="B517" t="inlineStr">
        <is>
          <t>PJ5129.R2 A23 1983</t>
        </is>
      </c>
      <c r="C517" t="inlineStr">
        <is>
          <t>0                      PJ 5129000R  2                  A  23          1983</t>
        </is>
      </c>
      <c r="D517" t="inlineStr">
        <is>
          <t>Favorite tales of Sholom Aleichem / translated by Julius and Frances Butwin ; illustrations by Ben Shahn.</t>
        </is>
      </c>
      <c r="F517" t="inlineStr">
        <is>
          <t>No</t>
        </is>
      </c>
      <c r="G517" t="inlineStr">
        <is>
          <t>1</t>
        </is>
      </c>
      <c r="H517" t="inlineStr">
        <is>
          <t>No</t>
        </is>
      </c>
      <c r="I517" t="inlineStr">
        <is>
          <t>No</t>
        </is>
      </c>
      <c r="J517" t="inlineStr">
        <is>
          <t>0</t>
        </is>
      </c>
      <c r="K517" t="inlineStr">
        <is>
          <t>Sholem Aleichem, 1859-1916.</t>
        </is>
      </c>
      <c r="L517" t="inlineStr">
        <is>
          <t>New York : Avenel Books : Distributed by Crown Publishers, 1983.</t>
        </is>
      </c>
      <c r="M517" t="inlineStr">
        <is>
          <t>1983</t>
        </is>
      </c>
      <c r="O517" t="inlineStr">
        <is>
          <t>eng</t>
        </is>
      </c>
      <c r="P517" t="inlineStr">
        <is>
          <t>nyu</t>
        </is>
      </c>
      <c r="R517" t="inlineStr">
        <is>
          <t xml:space="preserve">PJ </t>
        </is>
      </c>
      <c r="S517" t="n">
        <v>1</v>
      </c>
      <c r="T517" t="n">
        <v>1</v>
      </c>
      <c r="U517" t="inlineStr">
        <is>
          <t>2010-05-26</t>
        </is>
      </c>
      <c r="V517" t="inlineStr">
        <is>
          <t>2010-05-26</t>
        </is>
      </c>
      <c r="W517" t="inlineStr">
        <is>
          <t>2010-05-26</t>
        </is>
      </c>
      <c r="X517" t="inlineStr">
        <is>
          <t>2010-05-26</t>
        </is>
      </c>
      <c r="Y517" t="n">
        <v>301</v>
      </c>
      <c r="Z517" t="n">
        <v>275</v>
      </c>
      <c r="AA517" t="n">
        <v>297</v>
      </c>
      <c r="AB517" t="n">
        <v>3</v>
      </c>
      <c r="AC517" t="n">
        <v>3</v>
      </c>
      <c r="AD517" t="n">
        <v>8</v>
      </c>
      <c r="AE517" t="n">
        <v>9</v>
      </c>
      <c r="AF517" t="n">
        <v>4</v>
      </c>
      <c r="AG517" t="n">
        <v>4</v>
      </c>
      <c r="AH517" t="n">
        <v>0</v>
      </c>
      <c r="AI517" t="n">
        <v>1</v>
      </c>
      <c r="AJ517" t="n">
        <v>5</v>
      </c>
      <c r="AK517" t="n">
        <v>5</v>
      </c>
      <c r="AL517" t="n">
        <v>1</v>
      </c>
      <c r="AM517" t="n">
        <v>1</v>
      </c>
      <c r="AN517" t="n">
        <v>0</v>
      </c>
      <c r="AO517" t="n">
        <v>0</v>
      </c>
      <c r="AP517" t="inlineStr">
        <is>
          <t>No</t>
        </is>
      </c>
      <c r="AQ517" t="inlineStr">
        <is>
          <t>No</t>
        </is>
      </c>
      <c r="AS517">
        <f>HYPERLINK("https://creighton-primo.hosted.exlibrisgroup.com/primo-explore/search?tab=default_tab&amp;search_scope=EVERYTHING&amp;vid=01CRU&amp;lang=en_US&amp;offset=0&amp;query=any,contains,991005401569702656","Catalog Record")</f>
        <v/>
      </c>
      <c r="AT517">
        <f>HYPERLINK("http://www.worldcat.org/oclc/9644840","WorldCat Record")</f>
        <v/>
      </c>
      <c r="AU517" t="inlineStr">
        <is>
          <t>2908809067:eng</t>
        </is>
      </c>
      <c r="AV517" t="inlineStr">
        <is>
          <t>9644840</t>
        </is>
      </c>
      <c r="AW517" t="inlineStr">
        <is>
          <t>991005401569702656</t>
        </is>
      </c>
      <c r="AX517" t="inlineStr">
        <is>
          <t>991005401569702656</t>
        </is>
      </c>
      <c r="AY517" t="inlineStr">
        <is>
          <t>2267196210002656</t>
        </is>
      </c>
      <c r="AZ517" t="inlineStr">
        <is>
          <t>BOOK</t>
        </is>
      </c>
      <c r="BB517" t="inlineStr">
        <is>
          <t>9780517412947</t>
        </is>
      </c>
      <c r="BC517" t="inlineStr">
        <is>
          <t>32285005586531</t>
        </is>
      </c>
      <c r="BD517" t="inlineStr">
        <is>
          <t>893625965</t>
        </is>
      </c>
    </row>
    <row r="518">
      <c r="A518" t="inlineStr">
        <is>
          <t>No</t>
        </is>
      </c>
      <c r="B518" t="inlineStr">
        <is>
          <t>PJ5129.S49 A2 1988</t>
        </is>
      </c>
      <c r="C518" t="inlineStr">
        <is>
          <t>0                      PJ 5129000S  49                 A  2           1988</t>
        </is>
      </c>
      <c r="D518" t="inlineStr">
        <is>
          <t>The death of Methuselah and other stories / Isaac Bashevis Singer.</t>
        </is>
      </c>
      <c r="F518" t="inlineStr">
        <is>
          <t>No</t>
        </is>
      </c>
      <c r="G518" t="inlineStr">
        <is>
          <t>1</t>
        </is>
      </c>
      <c r="H518" t="inlineStr">
        <is>
          <t>No</t>
        </is>
      </c>
      <c r="I518" t="inlineStr">
        <is>
          <t>No</t>
        </is>
      </c>
      <c r="J518" t="inlineStr">
        <is>
          <t>0</t>
        </is>
      </c>
      <c r="K518" t="inlineStr">
        <is>
          <t>Singer, Isaac Bashevis, 1904-1991.</t>
        </is>
      </c>
      <c r="L518" t="inlineStr">
        <is>
          <t>New York : Farrar Straus Giroux, 1988, c1987.</t>
        </is>
      </c>
      <c r="M518" t="inlineStr">
        <is>
          <t>1988</t>
        </is>
      </c>
      <c r="O518" t="inlineStr">
        <is>
          <t>eng</t>
        </is>
      </c>
      <c r="P518" t="inlineStr">
        <is>
          <t>nyu</t>
        </is>
      </c>
      <c r="R518" t="inlineStr">
        <is>
          <t xml:space="preserve">PJ </t>
        </is>
      </c>
      <c r="S518" t="n">
        <v>2</v>
      </c>
      <c r="T518" t="n">
        <v>2</v>
      </c>
      <c r="U518" t="inlineStr">
        <is>
          <t>1998-02-11</t>
        </is>
      </c>
      <c r="V518" t="inlineStr">
        <is>
          <t>1998-02-11</t>
        </is>
      </c>
      <c r="W518" t="inlineStr">
        <is>
          <t>1993-05-03</t>
        </is>
      </c>
      <c r="X518" t="inlineStr">
        <is>
          <t>1993-05-03</t>
        </is>
      </c>
      <c r="Y518" t="n">
        <v>1242</v>
      </c>
      <c r="Z518" t="n">
        <v>1170</v>
      </c>
      <c r="AA518" t="n">
        <v>1260</v>
      </c>
      <c r="AB518" t="n">
        <v>4</v>
      </c>
      <c r="AC518" t="n">
        <v>4</v>
      </c>
      <c r="AD518" t="n">
        <v>27</v>
      </c>
      <c r="AE518" t="n">
        <v>29</v>
      </c>
      <c r="AF518" t="n">
        <v>12</v>
      </c>
      <c r="AG518" t="n">
        <v>13</v>
      </c>
      <c r="AH518" t="n">
        <v>8</v>
      </c>
      <c r="AI518" t="n">
        <v>8</v>
      </c>
      <c r="AJ518" t="n">
        <v>13</v>
      </c>
      <c r="AK518" t="n">
        <v>15</v>
      </c>
      <c r="AL518" t="n">
        <v>2</v>
      </c>
      <c r="AM518" t="n">
        <v>2</v>
      </c>
      <c r="AN518" t="n">
        <v>0</v>
      </c>
      <c r="AO518" t="n">
        <v>0</v>
      </c>
      <c r="AP518" t="inlineStr">
        <is>
          <t>No</t>
        </is>
      </c>
      <c r="AQ518" t="inlineStr">
        <is>
          <t>No</t>
        </is>
      </c>
      <c r="AS518">
        <f>HYPERLINK("https://creighton-primo.hosted.exlibrisgroup.com/primo-explore/search?tab=default_tab&amp;search_scope=EVERYTHING&amp;vid=01CRU&amp;lang=en_US&amp;offset=0&amp;query=any,contains,991001111239702656","Catalog Record")</f>
        <v/>
      </c>
      <c r="AT518">
        <f>HYPERLINK("http://www.worldcat.org/oclc/16468912","WorldCat Record")</f>
        <v/>
      </c>
      <c r="AU518" t="inlineStr">
        <is>
          <t>52710898:eng</t>
        </is>
      </c>
      <c r="AV518" t="inlineStr">
        <is>
          <t>16468912</t>
        </is>
      </c>
      <c r="AW518" t="inlineStr">
        <is>
          <t>991001111239702656</t>
        </is>
      </c>
      <c r="AX518" t="inlineStr">
        <is>
          <t>991001111239702656</t>
        </is>
      </c>
      <c r="AY518" t="inlineStr">
        <is>
          <t>2270330290002656</t>
        </is>
      </c>
      <c r="AZ518" t="inlineStr">
        <is>
          <t>BOOK</t>
        </is>
      </c>
      <c r="BB518" t="inlineStr">
        <is>
          <t>9780374135638</t>
        </is>
      </c>
      <c r="BC518" t="inlineStr">
        <is>
          <t>32285001670925</t>
        </is>
      </c>
      <c r="BD518" t="inlineStr">
        <is>
          <t>893614789</t>
        </is>
      </c>
    </row>
    <row r="519">
      <c r="A519" t="inlineStr">
        <is>
          <t>No</t>
        </is>
      </c>
      <c r="B519" t="inlineStr">
        <is>
          <t>PJ5129.S49 A22 1982</t>
        </is>
      </c>
      <c r="C519" t="inlineStr">
        <is>
          <t>0                      PJ 5129000S  49                 A  22          1982</t>
        </is>
      </c>
      <c r="D519" t="inlineStr">
        <is>
          <t>The collected stories of Isaac Bashevis Singer.</t>
        </is>
      </c>
      <c r="F519" t="inlineStr">
        <is>
          <t>No</t>
        </is>
      </c>
      <c r="G519" t="inlineStr">
        <is>
          <t>1</t>
        </is>
      </c>
      <c r="H519" t="inlineStr">
        <is>
          <t>No</t>
        </is>
      </c>
      <c r="I519" t="inlineStr">
        <is>
          <t>No</t>
        </is>
      </c>
      <c r="J519" t="inlineStr">
        <is>
          <t>0</t>
        </is>
      </c>
      <c r="K519" t="inlineStr">
        <is>
          <t>Singer, Isaac Bashevis, 1904-1991.</t>
        </is>
      </c>
      <c r="L519" t="inlineStr">
        <is>
          <t>New York : Farrar, Straus, Giroux, c1982.</t>
        </is>
      </c>
      <c r="M519" t="inlineStr">
        <is>
          <t>1982</t>
        </is>
      </c>
      <c r="O519" t="inlineStr">
        <is>
          <t>eng</t>
        </is>
      </c>
      <c r="P519" t="inlineStr">
        <is>
          <t>nyu</t>
        </is>
      </c>
      <c r="R519" t="inlineStr">
        <is>
          <t xml:space="preserve">PJ </t>
        </is>
      </c>
      <c r="S519" t="n">
        <v>7</v>
      </c>
      <c r="T519" t="n">
        <v>7</v>
      </c>
      <c r="U519" t="inlineStr">
        <is>
          <t>2004-03-18</t>
        </is>
      </c>
      <c r="V519" t="inlineStr">
        <is>
          <t>2004-03-18</t>
        </is>
      </c>
      <c r="W519" t="inlineStr">
        <is>
          <t>1993-05-03</t>
        </is>
      </c>
      <c r="X519" t="inlineStr">
        <is>
          <t>1993-05-03</t>
        </is>
      </c>
      <c r="Y519" t="n">
        <v>2316</v>
      </c>
      <c r="Z519" t="n">
        <v>2180</v>
      </c>
      <c r="AA519" t="n">
        <v>2347</v>
      </c>
      <c r="AB519" t="n">
        <v>15</v>
      </c>
      <c r="AC519" t="n">
        <v>16</v>
      </c>
      <c r="AD519" t="n">
        <v>54</v>
      </c>
      <c r="AE519" t="n">
        <v>57</v>
      </c>
      <c r="AF519" t="n">
        <v>23</v>
      </c>
      <c r="AG519" t="n">
        <v>26</v>
      </c>
      <c r="AH519" t="n">
        <v>11</v>
      </c>
      <c r="AI519" t="n">
        <v>11</v>
      </c>
      <c r="AJ519" t="n">
        <v>23</v>
      </c>
      <c r="AK519" t="n">
        <v>24</v>
      </c>
      <c r="AL519" t="n">
        <v>8</v>
      </c>
      <c r="AM519" t="n">
        <v>8</v>
      </c>
      <c r="AN519" t="n">
        <v>1</v>
      </c>
      <c r="AO519" t="n">
        <v>1</v>
      </c>
      <c r="AP519" t="inlineStr">
        <is>
          <t>No</t>
        </is>
      </c>
      <c r="AQ519" t="inlineStr">
        <is>
          <t>Yes</t>
        </is>
      </c>
      <c r="AR519">
        <f>HYPERLINK("http://catalog.hathitrust.org/Record/000307416","HathiTrust Record")</f>
        <v/>
      </c>
      <c r="AS519">
        <f>HYPERLINK("https://creighton-primo.hosted.exlibrisgroup.com/primo-explore/search?tab=default_tab&amp;search_scope=EVERYTHING&amp;vid=01CRU&amp;lang=en_US&amp;offset=0&amp;query=any,contains,991005146959702656","Catalog Record")</f>
        <v/>
      </c>
      <c r="AT519">
        <f>HYPERLINK("http://www.worldcat.org/oclc/7672022","WorldCat Record")</f>
        <v/>
      </c>
      <c r="AU519" t="inlineStr">
        <is>
          <t>52365191:eng</t>
        </is>
      </c>
      <c r="AV519" t="inlineStr">
        <is>
          <t>7672022</t>
        </is>
      </c>
      <c r="AW519" t="inlineStr">
        <is>
          <t>991005146959702656</t>
        </is>
      </c>
      <c r="AX519" t="inlineStr">
        <is>
          <t>991005146959702656</t>
        </is>
      </c>
      <c r="AY519" t="inlineStr">
        <is>
          <t>2272537800002656</t>
        </is>
      </c>
      <c r="AZ519" t="inlineStr">
        <is>
          <t>BOOK</t>
        </is>
      </c>
      <c r="BB519" t="inlineStr">
        <is>
          <t>9780374126315</t>
        </is>
      </c>
      <c r="BC519" t="inlineStr">
        <is>
          <t>32285001670933</t>
        </is>
      </c>
      <c r="BD519" t="inlineStr">
        <is>
          <t>893619535</t>
        </is>
      </c>
    </row>
    <row r="520">
      <c r="A520" t="inlineStr">
        <is>
          <t>No</t>
        </is>
      </c>
      <c r="B520" t="inlineStr">
        <is>
          <t>PJ5129.S49 S4813 1991</t>
        </is>
      </c>
      <c r="C520" t="inlineStr">
        <is>
          <t>0                      PJ 5129000S  49                 S  4813        1991</t>
        </is>
      </c>
      <c r="D520" t="inlineStr">
        <is>
          <t>Scum / Isaac Bashevis Singer ; translated by Rosaline Dukalsky Schwartz.</t>
        </is>
      </c>
      <c r="F520" t="inlineStr">
        <is>
          <t>No</t>
        </is>
      </c>
      <c r="G520" t="inlineStr">
        <is>
          <t>1</t>
        </is>
      </c>
      <c r="H520" t="inlineStr">
        <is>
          <t>No</t>
        </is>
      </c>
      <c r="I520" t="inlineStr">
        <is>
          <t>No</t>
        </is>
      </c>
      <c r="J520" t="inlineStr">
        <is>
          <t>0</t>
        </is>
      </c>
      <c r="K520" t="inlineStr">
        <is>
          <t>Singer, Isaac Bashevis, 1904-1991.</t>
        </is>
      </c>
      <c r="L520" t="inlineStr">
        <is>
          <t>New York : Farrar, Straus, Giroux, c1991.</t>
        </is>
      </c>
      <c r="M520" t="inlineStr">
        <is>
          <t>1991</t>
        </is>
      </c>
      <c r="O520" t="inlineStr">
        <is>
          <t>eng</t>
        </is>
      </c>
      <c r="P520" t="inlineStr">
        <is>
          <t>nyu</t>
        </is>
      </c>
      <c r="R520" t="inlineStr">
        <is>
          <t xml:space="preserve">PJ </t>
        </is>
      </c>
      <c r="S520" t="n">
        <v>3</v>
      </c>
      <c r="T520" t="n">
        <v>3</v>
      </c>
      <c r="U520" t="inlineStr">
        <is>
          <t>1996-11-21</t>
        </is>
      </c>
      <c r="V520" t="inlineStr">
        <is>
          <t>1996-11-21</t>
        </is>
      </c>
      <c r="W520" t="inlineStr">
        <is>
          <t>1992-02-21</t>
        </is>
      </c>
      <c r="X520" t="inlineStr">
        <is>
          <t>1992-02-21</t>
        </is>
      </c>
      <c r="Y520" t="n">
        <v>1076</v>
      </c>
      <c r="Z520" t="n">
        <v>1013</v>
      </c>
      <c r="AA520" t="n">
        <v>1079</v>
      </c>
      <c r="AB520" t="n">
        <v>7</v>
      </c>
      <c r="AC520" t="n">
        <v>7</v>
      </c>
      <c r="AD520" t="n">
        <v>30</v>
      </c>
      <c r="AE520" t="n">
        <v>33</v>
      </c>
      <c r="AF520" t="n">
        <v>11</v>
      </c>
      <c r="AG520" t="n">
        <v>13</v>
      </c>
      <c r="AH520" t="n">
        <v>7</v>
      </c>
      <c r="AI520" t="n">
        <v>8</v>
      </c>
      <c r="AJ520" t="n">
        <v>14</v>
      </c>
      <c r="AK520" t="n">
        <v>15</v>
      </c>
      <c r="AL520" t="n">
        <v>4</v>
      </c>
      <c r="AM520" t="n">
        <v>4</v>
      </c>
      <c r="AN520" t="n">
        <v>0</v>
      </c>
      <c r="AO520" t="n">
        <v>0</v>
      </c>
      <c r="AP520" t="inlineStr">
        <is>
          <t>No</t>
        </is>
      </c>
      <c r="AQ520" t="inlineStr">
        <is>
          <t>No</t>
        </is>
      </c>
      <c r="AS520">
        <f>HYPERLINK("https://creighton-primo.hosted.exlibrisgroup.com/primo-explore/search?tab=default_tab&amp;search_scope=EVERYTHING&amp;vid=01CRU&amp;lang=en_US&amp;offset=0&amp;query=any,contains,991001854629702656","Catalog Record")</f>
        <v/>
      </c>
      <c r="AT520">
        <f>HYPERLINK("http://www.worldcat.org/oclc/23274398","WorldCat Record")</f>
        <v/>
      </c>
      <c r="AU520" t="inlineStr">
        <is>
          <t>52365228:eng</t>
        </is>
      </c>
      <c r="AV520" t="inlineStr">
        <is>
          <t>23274398</t>
        </is>
      </c>
      <c r="AW520" t="inlineStr">
        <is>
          <t>991001854629702656</t>
        </is>
      </c>
      <c r="AX520" t="inlineStr">
        <is>
          <t>991001854629702656</t>
        </is>
      </c>
      <c r="AY520" t="inlineStr">
        <is>
          <t>2260555640002656</t>
        </is>
      </c>
      <c r="AZ520" t="inlineStr">
        <is>
          <t>BOOK</t>
        </is>
      </c>
      <c r="BB520" t="inlineStr">
        <is>
          <t>9780374255114</t>
        </is>
      </c>
      <c r="BC520" t="inlineStr">
        <is>
          <t>32285000935881</t>
        </is>
      </c>
      <c r="BD520" t="inlineStr">
        <is>
          <t>893709586</t>
        </is>
      </c>
    </row>
    <row r="521">
      <c r="A521" t="inlineStr">
        <is>
          <t>No</t>
        </is>
      </c>
      <c r="B521" t="inlineStr">
        <is>
          <t>PJ5129.S49 S53 1962</t>
        </is>
      </c>
      <c r="C521" t="inlineStr">
        <is>
          <t>0                      PJ 5129000S  49                 S  53          1962</t>
        </is>
      </c>
      <c r="D521" t="inlineStr">
        <is>
          <t>The slave : a novel / by Isaac Bashevis Singer. Translated from the Yiddish by the author and Cecil Hemley.</t>
        </is>
      </c>
      <c r="F521" t="inlineStr">
        <is>
          <t>No</t>
        </is>
      </c>
      <c r="G521" t="inlineStr">
        <is>
          <t>1</t>
        </is>
      </c>
      <c r="H521" t="inlineStr">
        <is>
          <t>No</t>
        </is>
      </c>
      <c r="I521" t="inlineStr">
        <is>
          <t>No</t>
        </is>
      </c>
      <c r="J521" t="inlineStr">
        <is>
          <t>0</t>
        </is>
      </c>
      <c r="K521" t="inlineStr">
        <is>
          <t>Singer, Isaac Bashevis, 1904-1991.</t>
        </is>
      </c>
      <c r="L521" t="inlineStr">
        <is>
          <t>New York : Farrar, Straus and Cudahy, c1962, 1979 printing.</t>
        </is>
      </c>
      <c r="M521" t="inlineStr">
        <is>
          <t>1962</t>
        </is>
      </c>
      <c r="O521" t="inlineStr">
        <is>
          <t>eng</t>
        </is>
      </c>
      <c r="P521" t="inlineStr">
        <is>
          <t>nyu</t>
        </is>
      </c>
      <c r="R521" t="inlineStr">
        <is>
          <t xml:space="preserve">PJ </t>
        </is>
      </c>
      <c r="S521" t="n">
        <v>2</v>
      </c>
      <c r="T521" t="n">
        <v>2</v>
      </c>
      <c r="U521" t="inlineStr">
        <is>
          <t>2001-02-02</t>
        </is>
      </c>
      <c r="V521" t="inlineStr">
        <is>
          <t>2001-02-02</t>
        </is>
      </c>
      <c r="W521" t="inlineStr">
        <is>
          <t>1993-05-03</t>
        </is>
      </c>
      <c r="X521" t="inlineStr">
        <is>
          <t>1993-05-03</t>
        </is>
      </c>
      <c r="Y521" t="n">
        <v>1218</v>
      </c>
      <c r="Z521" t="n">
        <v>1149</v>
      </c>
      <c r="AA521" t="n">
        <v>1389</v>
      </c>
      <c r="AB521" t="n">
        <v>9</v>
      </c>
      <c r="AC521" t="n">
        <v>10</v>
      </c>
      <c r="AD521" t="n">
        <v>31</v>
      </c>
      <c r="AE521" t="n">
        <v>35</v>
      </c>
      <c r="AF521" t="n">
        <v>11</v>
      </c>
      <c r="AG521" t="n">
        <v>14</v>
      </c>
      <c r="AH521" t="n">
        <v>5</v>
      </c>
      <c r="AI521" t="n">
        <v>5</v>
      </c>
      <c r="AJ521" t="n">
        <v>13</v>
      </c>
      <c r="AK521" t="n">
        <v>15</v>
      </c>
      <c r="AL521" t="n">
        <v>7</v>
      </c>
      <c r="AM521" t="n">
        <v>7</v>
      </c>
      <c r="AN521" t="n">
        <v>0</v>
      </c>
      <c r="AO521" t="n">
        <v>0</v>
      </c>
      <c r="AP521" t="inlineStr">
        <is>
          <t>No</t>
        </is>
      </c>
      <c r="AQ521" t="inlineStr">
        <is>
          <t>No</t>
        </is>
      </c>
      <c r="AS521">
        <f>HYPERLINK("https://creighton-primo.hosted.exlibrisgroup.com/primo-explore/search?tab=default_tab&amp;search_scope=EVERYTHING&amp;vid=01CRU&amp;lang=en_US&amp;offset=0&amp;query=any,contains,991002332019702656","Catalog Record")</f>
        <v/>
      </c>
      <c r="AT521">
        <f>HYPERLINK("http://www.worldcat.org/oclc/322506","WorldCat Record")</f>
        <v/>
      </c>
      <c r="AU521" t="inlineStr">
        <is>
          <t>2928576012:eng</t>
        </is>
      </c>
      <c r="AV521" t="inlineStr">
        <is>
          <t>322506</t>
        </is>
      </c>
      <c r="AW521" t="inlineStr">
        <is>
          <t>991002332019702656</t>
        </is>
      </c>
      <c r="AX521" t="inlineStr">
        <is>
          <t>991002332019702656</t>
        </is>
      </c>
      <c r="AY521" t="inlineStr">
        <is>
          <t>2257130830002656</t>
        </is>
      </c>
      <c r="AZ521" t="inlineStr">
        <is>
          <t>BOOK</t>
        </is>
      </c>
      <c r="BC521" t="inlineStr">
        <is>
          <t>32285001670966</t>
        </is>
      </c>
      <c r="BD521" t="inlineStr">
        <is>
          <t>893523479</t>
        </is>
      </c>
    </row>
    <row r="522">
      <c r="A522" t="inlineStr">
        <is>
          <t>No</t>
        </is>
      </c>
      <c r="B522" t="inlineStr">
        <is>
          <t>PJ5129.S49 Z8 1969</t>
        </is>
      </c>
      <c r="C522" t="inlineStr">
        <is>
          <t>0                      PJ 5129000S  49                 Z  8           1969</t>
        </is>
      </c>
      <c r="D522" t="inlineStr">
        <is>
          <t>Critical views of Isaac Bashevis Singer / edited by Irving Malin.</t>
        </is>
      </c>
      <c r="F522" t="inlineStr">
        <is>
          <t>No</t>
        </is>
      </c>
      <c r="G522" t="inlineStr">
        <is>
          <t>1</t>
        </is>
      </c>
      <c r="H522" t="inlineStr">
        <is>
          <t>No</t>
        </is>
      </c>
      <c r="I522" t="inlineStr">
        <is>
          <t>No</t>
        </is>
      </c>
      <c r="J522" t="inlineStr">
        <is>
          <t>0</t>
        </is>
      </c>
      <c r="K522" t="inlineStr">
        <is>
          <t>Malin, Irving, compiler.</t>
        </is>
      </c>
      <c r="L522" t="inlineStr">
        <is>
          <t>New York : New York University Press, 1969.</t>
        </is>
      </c>
      <c r="M522" t="inlineStr">
        <is>
          <t>1969</t>
        </is>
      </c>
      <c r="O522" t="inlineStr">
        <is>
          <t>eng</t>
        </is>
      </c>
      <c r="P522" t="inlineStr">
        <is>
          <t>nyu</t>
        </is>
      </c>
      <c r="Q522" t="inlineStr">
        <is>
          <t>The Gotham library</t>
        </is>
      </c>
      <c r="R522" t="inlineStr">
        <is>
          <t xml:space="preserve">PJ </t>
        </is>
      </c>
      <c r="S522" t="n">
        <v>1</v>
      </c>
      <c r="T522" t="n">
        <v>1</v>
      </c>
      <c r="U522" t="inlineStr">
        <is>
          <t>1994-10-02</t>
        </is>
      </c>
      <c r="V522" t="inlineStr">
        <is>
          <t>1994-10-02</t>
        </is>
      </c>
      <c r="W522" t="inlineStr">
        <is>
          <t>1994-09-14</t>
        </is>
      </c>
      <c r="X522" t="inlineStr">
        <is>
          <t>1994-09-14</t>
        </is>
      </c>
      <c r="Y522" t="n">
        <v>799</v>
      </c>
      <c r="Z522" t="n">
        <v>726</v>
      </c>
      <c r="AA522" t="n">
        <v>730</v>
      </c>
      <c r="AB522" t="n">
        <v>6</v>
      </c>
      <c r="AC522" t="n">
        <v>6</v>
      </c>
      <c r="AD522" t="n">
        <v>34</v>
      </c>
      <c r="AE522" t="n">
        <v>34</v>
      </c>
      <c r="AF522" t="n">
        <v>12</v>
      </c>
      <c r="AG522" t="n">
        <v>12</v>
      </c>
      <c r="AH522" t="n">
        <v>9</v>
      </c>
      <c r="AI522" t="n">
        <v>9</v>
      </c>
      <c r="AJ522" t="n">
        <v>16</v>
      </c>
      <c r="AK522" t="n">
        <v>16</v>
      </c>
      <c r="AL522" t="n">
        <v>4</v>
      </c>
      <c r="AM522" t="n">
        <v>4</v>
      </c>
      <c r="AN522" t="n">
        <v>0</v>
      </c>
      <c r="AO522" t="n">
        <v>0</v>
      </c>
      <c r="AP522" t="inlineStr">
        <is>
          <t>No</t>
        </is>
      </c>
      <c r="AQ522" t="inlineStr">
        <is>
          <t>No</t>
        </is>
      </c>
      <c r="AS522">
        <f>HYPERLINK("https://creighton-primo.hosted.exlibrisgroup.com/primo-explore/search?tab=default_tab&amp;search_scope=EVERYTHING&amp;vid=01CRU&amp;lang=en_US&amp;offset=0&amp;query=any,contains,991000118819702656","Catalog Record")</f>
        <v/>
      </c>
      <c r="AT522">
        <f>HYPERLINK("http://www.worldcat.org/oclc/49539","WorldCat Record")</f>
        <v/>
      </c>
      <c r="AU522" t="inlineStr">
        <is>
          <t>191882547:eng</t>
        </is>
      </c>
      <c r="AV522" t="inlineStr">
        <is>
          <t>49539</t>
        </is>
      </c>
      <c r="AW522" t="inlineStr">
        <is>
          <t>991000118819702656</t>
        </is>
      </c>
      <c r="AX522" t="inlineStr">
        <is>
          <t>991000118819702656</t>
        </is>
      </c>
      <c r="AY522" t="inlineStr">
        <is>
          <t>2263766400002656</t>
        </is>
      </c>
      <c r="AZ522" t="inlineStr">
        <is>
          <t>BOOK</t>
        </is>
      </c>
      <c r="BC522" t="inlineStr">
        <is>
          <t>32285001939411</t>
        </is>
      </c>
      <c r="BD522" t="inlineStr">
        <is>
          <t>893802515</t>
        </is>
      </c>
    </row>
    <row r="523">
      <c r="A523" t="inlineStr">
        <is>
          <t>No</t>
        </is>
      </c>
      <c r="B523" t="inlineStr">
        <is>
          <t>PJ5201 .F5</t>
        </is>
      </c>
      <c r="C523" t="inlineStr">
        <is>
          <t>0                      PJ 5201000F  5</t>
        </is>
      </c>
      <c r="D523" t="inlineStr">
        <is>
          <t>A wandering Aramean : collected Aramaic essays / Joseph A. Fitzmyer.</t>
        </is>
      </c>
      <c r="F523" t="inlineStr">
        <is>
          <t>No</t>
        </is>
      </c>
      <c r="G523" t="inlineStr">
        <is>
          <t>1</t>
        </is>
      </c>
      <c r="H523" t="inlineStr">
        <is>
          <t>No</t>
        </is>
      </c>
      <c r="I523" t="inlineStr">
        <is>
          <t>No</t>
        </is>
      </c>
      <c r="J523" t="inlineStr">
        <is>
          <t>0</t>
        </is>
      </c>
      <c r="K523" t="inlineStr">
        <is>
          <t>Fitzmyer, Joseph A.</t>
        </is>
      </c>
      <c r="L523" t="inlineStr">
        <is>
          <t>Missoula, Mont. : Scholars Press, c1979.</t>
        </is>
      </c>
      <c r="M523" t="inlineStr">
        <is>
          <t>1979</t>
        </is>
      </c>
      <c r="O523" t="inlineStr">
        <is>
          <t>eng</t>
        </is>
      </c>
      <c r="P523" t="inlineStr">
        <is>
          <t>mtu</t>
        </is>
      </c>
      <c r="Q523" t="inlineStr">
        <is>
          <t>Monograph series (Society of Biblical Literature) ; no. 25</t>
        </is>
      </c>
      <c r="R523" t="inlineStr">
        <is>
          <t xml:space="preserve">PJ </t>
        </is>
      </c>
      <c r="S523" t="n">
        <v>1</v>
      </c>
      <c r="T523" t="n">
        <v>1</v>
      </c>
      <c r="U523" t="inlineStr">
        <is>
          <t>2005-04-12</t>
        </is>
      </c>
      <c r="V523" t="inlineStr">
        <is>
          <t>2005-04-12</t>
        </is>
      </c>
      <c r="W523" t="inlineStr">
        <is>
          <t>1993-05-03</t>
        </is>
      </c>
      <c r="X523" t="inlineStr">
        <is>
          <t>1993-05-03</t>
        </is>
      </c>
      <c r="Y523" t="n">
        <v>425</v>
      </c>
      <c r="Z523" t="n">
        <v>297</v>
      </c>
      <c r="AA523" t="n">
        <v>304</v>
      </c>
      <c r="AB523" t="n">
        <v>4</v>
      </c>
      <c r="AC523" t="n">
        <v>4</v>
      </c>
      <c r="AD523" t="n">
        <v>23</v>
      </c>
      <c r="AE523" t="n">
        <v>24</v>
      </c>
      <c r="AF523" t="n">
        <v>9</v>
      </c>
      <c r="AG523" t="n">
        <v>9</v>
      </c>
      <c r="AH523" t="n">
        <v>5</v>
      </c>
      <c r="AI523" t="n">
        <v>6</v>
      </c>
      <c r="AJ523" t="n">
        <v>11</v>
      </c>
      <c r="AK523" t="n">
        <v>12</v>
      </c>
      <c r="AL523" t="n">
        <v>3</v>
      </c>
      <c r="AM523" t="n">
        <v>3</v>
      </c>
      <c r="AN523" t="n">
        <v>0</v>
      </c>
      <c r="AO523" t="n">
        <v>0</v>
      </c>
      <c r="AP523" t="inlineStr">
        <is>
          <t>No</t>
        </is>
      </c>
      <c r="AQ523" t="inlineStr">
        <is>
          <t>Yes</t>
        </is>
      </c>
      <c r="AR523">
        <f>HYPERLINK("http://catalog.hathitrust.org/Record/007446570","HathiTrust Record")</f>
        <v/>
      </c>
      <c r="AS523">
        <f>HYPERLINK("https://creighton-primo.hosted.exlibrisgroup.com/primo-explore/search?tab=default_tab&amp;search_scope=EVERYTHING&amp;vid=01CRU&amp;lang=en_US&amp;offset=0&amp;query=any,contains,991004373179702656","Catalog Record")</f>
        <v/>
      </c>
      <c r="AT523">
        <f>HYPERLINK("http://www.worldcat.org/oclc/3202737","WorldCat Record")</f>
        <v/>
      </c>
      <c r="AU523" t="inlineStr">
        <is>
          <t>365058494:eng</t>
        </is>
      </c>
      <c r="AV523" t="inlineStr">
        <is>
          <t>3202737</t>
        </is>
      </c>
      <c r="AW523" t="inlineStr">
        <is>
          <t>991004373179702656</t>
        </is>
      </c>
      <c r="AX523" t="inlineStr">
        <is>
          <t>991004373179702656</t>
        </is>
      </c>
      <c r="AY523" t="inlineStr">
        <is>
          <t>2270289680002656</t>
        </is>
      </c>
      <c r="AZ523" t="inlineStr">
        <is>
          <t>BOOK</t>
        </is>
      </c>
      <c r="BB523" t="inlineStr">
        <is>
          <t>9780891301509</t>
        </is>
      </c>
      <c r="BC523" t="inlineStr">
        <is>
          <t>32285001671014</t>
        </is>
      </c>
      <c r="BD523" t="inlineStr">
        <is>
          <t>893775941</t>
        </is>
      </c>
    </row>
    <row r="524">
      <c r="A524" t="inlineStr">
        <is>
          <t>No</t>
        </is>
      </c>
      <c r="B524" t="inlineStr">
        <is>
          <t>PJ5201 .F57 1992, pt...</t>
        </is>
      </c>
      <c r="C524" t="inlineStr">
        <is>
          <t>0                      PJ 5201000F  57          1992                                        pt...</t>
        </is>
      </c>
      <c r="D524" t="inlineStr">
        <is>
          <t>An Aramaic bibliography / Joseph A. Fitzmyer and Stephen A. Kaufman, with the collaboration of Stephan F. Bennett and Edward M. Cook.</t>
        </is>
      </c>
      <c r="E524" t="inlineStr">
        <is>
          <t>pt...*</t>
        </is>
      </c>
      <c r="F524" t="inlineStr">
        <is>
          <t>No</t>
        </is>
      </c>
      <c r="G524" t="inlineStr">
        <is>
          <t>1</t>
        </is>
      </c>
      <c r="H524" t="inlineStr">
        <is>
          <t>No</t>
        </is>
      </c>
      <c r="I524" t="inlineStr">
        <is>
          <t>No</t>
        </is>
      </c>
      <c r="J524" t="inlineStr">
        <is>
          <t>0</t>
        </is>
      </c>
      <c r="K524" t="inlineStr">
        <is>
          <t>Fitzmyer, Joseph A.</t>
        </is>
      </c>
      <c r="L524" t="inlineStr">
        <is>
          <t>Baltimore : Johns Hopkins University Press, c1992-</t>
        </is>
      </c>
      <c r="M524" t="inlineStr">
        <is>
          <t>1992</t>
        </is>
      </c>
      <c r="O524" t="inlineStr">
        <is>
          <t>eng</t>
        </is>
      </c>
      <c r="P524" t="inlineStr">
        <is>
          <t>mdu</t>
        </is>
      </c>
      <c r="Q524" t="inlineStr">
        <is>
          <t>Publications of the Comprehensive Aramaic Lexicon Project</t>
        </is>
      </c>
      <c r="R524" t="inlineStr">
        <is>
          <t xml:space="preserve">PJ </t>
        </is>
      </c>
      <c r="S524" t="n">
        <v>1</v>
      </c>
      <c r="T524" t="n">
        <v>1</v>
      </c>
      <c r="U524" t="inlineStr">
        <is>
          <t>1992-08-13</t>
        </is>
      </c>
      <c r="V524" t="inlineStr">
        <is>
          <t>1992-08-13</t>
        </is>
      </c>
      <c r="W524" t="inlineStr">
        <is>
          <t>1992-07-28</t>
        </is>
      </c>
      <c r="X524" t="inlineStr">
        <is>
          <t>1992-07-28</t>
        </is>
      </c>
      <c r="Y524" t="n">
        <v>227</v>
      </c>
      <c r="Z524" t="n">
        <v>176</v>
      </c>
      <c r="AA524" t="n">
        <v>178</v>
      </c>
      <c r="AB524" t="n">
        <v>1</v>
      </c>
      <c r="AC524" t="n">
        <v>1</v>
      </c>
      <c r="AD524" t="n">
        <v>8</v>
      </c>
      <c r="AE524" t="n">
        <v>8</v>
      </c>
      <c r="AF524" t="n">
        <v>2</v>
      </c>
      <c r="AG524" t="n">
        <v>2</v>
      </c>
      <c r="AH524" t="n">
        <v>3</v>
      </c>
      <c r="AI524" t="n">
        <v>3</v>
      </c>
      <c r="AJ524" t="n">
        <v>5</v>
      </c>
      <c r="AK524" t="n">
        <v>5</v>
      </c>
      <c r="AL524" t="n">
        <v>0</v>
      </c>
      <c r="AM524" t="n">
        <v>0</v>
      </c>
      <c r="AN524" t="n">
        <v>0</v>
      </c>
      <c r="AO524" t="n">
        <v>0</v>
      </c>
      <c r="AP524" t="inlineStr">
        <is>
          <t>No</t>
        </is>
      </c>
      <c r="AQ524" t="inlineStr">
        <is>
          <t>Yes</t>
        </is>
      </c>
      <c r="AR524">
        <f>HYPERLINK("http://catalog.hathitrust.org/Record/002526994","HathiTrust Record")</f>
        <v/>
      </c>
      <c r="AS524">
        <f>HYPERLINK("https://creighton-primo.hosted.exlibrisgroup.com/primo-explore/search?tab=default_tab&amp;search_scope=EVERYTHING&amp;vid=01CRU&amp;lang=en_US&amp;offset=0&amp;query=any,contains,991001895609702656","Catalog Record")</f>
        <v/>
      </c>
      <c r="AT524">
        <f>HYPERLINK("http://www.worldcat.org/oclc/23941184","WorldCat Record")</f>
        <v/>
      </c>
      <c r="AU524" t="inlineStr">
        <is>
          <t>2864392490:eng</t>
        </is>
      </c>
      <c r="AV524" t="inlineStr">
        <is>
          <t>23941184</t>
        </is>
      </c>
      <c r="AW524" t="inlineStr">
        <is>
          <t>991001895609702656</t>
        </is>
      </c>
      <c r="AX524" t="inlineStr">
        <is>
          <t>991001895609702656</t>
        </is>
      </c>
      <c r="AY524" t="inlineStr">
        <is>
          <t>2270027480002656</t>
        </is>
      </c>
      <c r="AZ524" t="inlineStr">
        <is>
          <t>BOOK</t>
        </is>
      </c>
      <c r="BB524" t="inlineStr">
        <is>
          <t>9780801843129</t>
        </is>
      </c>
      <c r="BC524" t="inlineStr">
        <is>
          <t>32285001195600</t>
        </is>
      </c>
      <c r="BD524" t="inlineStr">
        <is>
          <t>893352043</t>
        </is>
      </c>
    </row>
    <row r="525">
      <c r="A525" t="inlineStr">
        <is>
          <t>No</t>
        </is>
      </c>
      <c r="B525" t="inlineStr">
        <is>
          <t>PJ5208 .A21 1978</t>
        </is>
      </c>
      <c r="C525" t="inlineStr">
        <is>
          <t>0                      PJ 5208000A  21          1978</t>
        </is>
      </c>
      <c r="D525" t="inlineStr">
        <is>
          <t>A manual of Palestinian Aramaic texts : (second century B.C.-second century A.D.) / [di] Joseph A. Fitzmyer and Daniel J. Harrington.</t>
        </is>
      </c>
      <c r="F525" t="inlineStr">
        <is>
          <t>No</t>
        </is>
      </c>
      <c r="G525" t="inlineStr">
        <is>
          <t>1</t>
        </is>
      </c>
      <c r="H525" t="inlineStr">
        <is>
          <t>No</t>
        </is>
      </c>
      <c r="I525" t="inlineStr">
        <is>
          <t>No</t>
        </is>
      </c>
      <c r="J525" t="inlineStr">
        <is>
          <t>0</t>
        </is>
      </c>
      <c r="K525" t="inlineStr">
        <is>
          <t>Fitzmyer, Joseph A.</t>
        </is>
      </c>
      <c r="L525" t="inlineStr">
        <is>
          <t>Rome : Biblical Institute Press, 1978.</t>
        </is>
      </c>
      <c r="M525" t="inlineStr">
        <is>
          <t>1978</t>
        </is>
      </c>
      <c r="O525" t="inlineStr">
        <is>
          <t>eng</t>
        </is>
      </c>
      <c r="P525" t="inlineStr">
        <is>
          <t xml:space="preserve">it </t>
        </is>
      </c>
      <c r="Q525" t="inlineStr">
        <is>
          <t>Biblica et orientalia ; 34</t>
        </is>
      </c>
      <c r="R525" t="inlineStr">
        <is>
          <t xml:space="preserve">PJ </t>
        </is>
      </c>
      <c r="S525" t="n">
        <v>2</v>
      </c>
      <c r="T525" t="n">
        <v>2</v>
      </c>
      <c r="U525" t="inlineStr">
        <is>
          <t>2001-10-19</t>
        </is>
      </c>
      <c r="V525" t="inlineStr">
        <is>
          <t>2001-10-19</t>
        </is>
      </c>
      <c r="W525" t="inlineStr">
        <is>
          <t>1993-05-03</t>
        </is>
      </c>
      <c r="X525" t="inlineStr">
        <is>
          <t>1993-05-03</t>
        </is>
      </c>
      <c r="Y525" t="n">
        <v>302</v>
      </c>
      <c r="Z525" t="n">
        <v>203</v>
      </c>
      <c r="AA525" t="n">
        <v>224</v>
      </c>
      <c r="AB525" t="n">
        <v>1</v>
      </c>
      <c r="AC525" t="n">
        <v>1</v>
      </c>
      <c r="AD525" t="n">
        <v>19</v>
      </c>
      <c r="AE525" t="n">
        <v>21</v>
      </c>
      <c r="AF525" t="n">
        <v>7</v>
      </c>
      <c r="AG525" t="n">
        <v>7</v>
      </c>
      <c r="AH525" t="n">
        <v>5</v>
      </c>
      <c r="AI525" t="n">
        <v>7</v>
      </c>
      <c r="AJ525" t="n">
        <v>13</v>
      </c>
      <c r="AK525" t="n">
        <v>14</v>
      </c>
      <c r="AL525" t="n">
        <v>0</v>
      </c>
      <c r="AM525" t="n">
        <v>0</v>
      </c>
      <c r="AN525" t="n">
        <v>0</v>
      </c>
      <c r="AO525" t="n">
        <v>0</v>
      </c>
      <c r="AP525" t="inlineStr">
        <is>
          <t>No</t>
        </is>
      </c>
      <c r="AQ525" t="inlineStr">
        <is>
          <t>No</t>
        </is>
      </c>
      <c r="AS525">
        <f>HYPERLINK("https://creighton-primo.hosted.exlibrisgroup.com/primo-explore/search?tab=default_tab&amp;search_scope=EVERYTHING&amp;vid=01CRU&amp;lang=en_US&amp;offset=0&amp;query=any,contains,991004809569702656","Catalog Record")</f>
        <v/>
      </c>
      <c r="AT525">
        <f>HYPERLINK("http://www.worldcat.org/oclc/5265630","WorldCat Record")</f>
        <v/>
      </c>
      <c r="AU525" t="inlineStr">
        <is>
          <t>16367514:eng</t>
        </is>
      </c>
      <c r="AV525" t="inlineStr">
        <is>
          <t>5265630</t>
        </is>
      </c>
      <c r="AW525" t="inlineStr">
        <is>
          <t>991004809569702656</t>
        </is>
      </c>
      <c r="AX525" t="inlineStr">
        <is>
          <t>991004809569702656</t>
        </is>
      </c>
      <c r="AY525" t="inlineStr">
        <is>
          <t>2259178010002656</t>
        </is>
      </c>
      <c r="AZ525" t="inlineStr">
        <is>
          <t>BOOK</t>
        </is>
      </c>
      <c r="BC525" t="inlineStr">
        <is>
          <t>32285001671030</t>
        </is>
      </c>
      <c r="BD525" t="inlineStr">
        <is>
          <t>893500987</t>
        </is>
      </c>
    </row>
    <row r="526">
      <c r="A526" t="inlineStr">
        <is>
          <t>No</t>
        </is>
      </c>
      <c r="B526" t="inlineStr">
        <is>
          <t>PJ5208.A5 E64 1996</t>
        </is>
      </c>
      <c r="C526" t="inlineStr">
        <is>
          <t>0                      PJ 5208000A  5                  E  64          1996</t>
        </is>
      </c>
      <c r="D526" t="inlineStr">
        <is>
          <t>Aramaic ostraca of the fourth century BC from Idumaea / Israel Eph'al and Joseph Naveh.</t>
        </is>
      </c>
      <c r="F526" t="inlineStr">
        <is>
          <t>No</t>
        </is>
      </c>
      <c r="G526" t="inlineStr">
        <is>
          <t>1</t>
        </is>
      </c>
      <c r="H526" t="inlineStr">
        <is>
          <t>No</t>
        </is>
      </c>
      <c r="I526" t="inlineStr">
        <is>
          <t>No</t>
        </is>
      </c>
      <c r="J526" t="inlineStr">
        <is>
          <t>0</t>
        </is>
      </c>
      <c r="K526" t="inlineStr">
        <is>
          <t>Ephʻal, Israel.</t>
        </is>
      </c>
      <c r="L526" t="inlineStr">
        <is>
          <t>Jerusalem : Magnes Press, Hebrew University, Israel Exploration Society, 1996.</t>
        </is>
      </c>
      <c r="M526" t="inlineStr">
        <is>
          <t>1996</t>
        </is>
      </c>
      <c r="O526" t="inlineStr">
        <is>
          <t>eng</t>
        </is>
      </c>
      <c r="P526" t="inlineStr">
        <is>
          <t xml:space="preserve">is </t>
        </is>
      </c>
      <c r="R526" t="inlineStr">
        <is>
          <t xml:space="preserve">PJ </t>
        </is>
      </c>
      <c r="S526" t="n">
        <v>0</v>
      </c>
      <c r="T526" t="n">
        <v>0</v>
      </c>
      <c r="U526" t="inlineStr">
        <is>
          <t>2001-06-12</t>
        </is>
      </c>
      <c r="V526" t="inlineStr">
        <is>
          <t>2001-06-12</t>
        </is>
      </c>
      <c r="W526" t="inlineStr">
        <is>
          <t>1999-04-26</t>
        </is>
      </c>
      <c r="X526" t="inlineStr">
        <is>
          <t>1999-04-26</t>
        </is>
      </c>
      <c r="Y526" t="n">
        <v>109</v>
      </c>
      <c r="Z526" t="n">
        <v>72</v>
      </c>
      <c r="AA526" t="n">
        <v>74</v>
      </c>
      <c r="AB526" t="n">
        <v>1</v>
      </c>
      <c r="AC526" t="n">
        <v>1</v>
      </c>
      <c r="AD526" t="n">
        <v>3</v>
      </c>
      <c r="AE526" t="n">
        <v>3</v>
      </c>
      <c r="AF526" t="n">
        <v>0</v>
      </c>
      <c r="AG526" t="n">
        <v>0</v>
      </c>
      <c r="AH526" t="n">
        <v>2</v>
      </c>
      <c r="AI526" t="n">
        <v>2</v>
      </c>
      <c r="AJ526" t="n">
        <v>2</v>
      </c>
      <c r="AK526" t="n">
        <v>2</v>
      </c>
      <c r="AL526" t="n">
        <v>0</v>
      </c>
      <c r="AM526" t="n">
        <v>0</v>
      </c>
      <c r="AN526" t="n">
        <v>0</v>
      </c>
      <c r="AO526" t="n">
        <v>0</v>
      </c>
      <c r="AP526" t="inlineStr">
        <is>
          <t>No</t>
        </is>
      </c>
      <c r="AQ526" t="inlineStr">
        <is>
          <t>Yes</t>
        </is>
      </c>
      <c r="AR526">
        <f>HYPERLINK("http://catalog.hathitrust.org/Record/003154481","HathiTrust Record")</f>
        <v/>
      </c>
      <c r="AS526">
        <f>HYPERLINK("https://creighton-primo.hosted.exlibrisgroup.com/primo-explore/search?tab=default_tab&amp;search_scope=EVERYTHING&amp;vid=01CRU&amp;lang=en_US&amp;offset=0&amp;query=any,contains,991002792509702656","Catalog Record")</f>
        <v/>
      </c>
      <c r="AT526">
        <f>HYPERLINK("http://www.worldcat.org/oclc/36671202","WorldCat Record")</f>
        <v/>
      </c>
      <c r="AU526" t="inlineStr">
        <is>
          <t>41031853:eng</t>
        </is>
      </c>
      <c r="AV526" t="inlineStr">
        <is>
          <t>36671202</t>
        </is>
      </c>
      <c r="AW526" t="inlineStr">
        <is>
          <t>991002792509702656</t>
        </is>
      </c>
      <c r="AX526" t="inlineStr">
        <is>
          <t>991002792509702656</t>
        </is>
      </c>
      <c r="AY526" t="inlineStr">
        <is>
          <t>2261954150002656</t>
        </is>
      </c>
      <c r="AZ526" t="inlineStr">
        <is>
          <t>BOOK</t>
        </is>
      </c>
      <c r="BB526" t="inlineStr">
        <is>
          <t>9789652239587</t>
        </is>
      </c>
      <c r="BC526" t="inlineStr">
        <is>
          <t>32285003555850</t>
        </is>
      </c>
      <c r="BD526" t="inlineStr">
        <is>
          <t>893721639</t>
        </is>
      </c>
    </row>
    <row r="527">
      <c r="A527" t="inlineStr">
        <is>
          <t>No</t>
        </is>
      </c>
      <c r="B527" t="inlineStr">
        <is>
          <t>PJ5423 .H42 1980</t>
        </is>
      </c>
      <c r="C527" t="inlineStr">
        <is>
          <t>0                      PJ 5423000H  42          1980</t>
        </is>
      </c>
      <c r="D527" t="inlineStr">
        <is>
          <t>First studies in Syriac / John F. Healey.</t>
        </is>
      </c>
      <c r="F527" t="inlineStr">
        <is>
          <t>No</t>
        </is>
      </c>
      <c r="G527" t="inlineStr">
        <is>
          <t>1</t>
        </is>
      </c>
      <c r="H527" t="inlineStr">
        <is>
          <t>No</t>
        </is>
      </c>
      <c r="I527" t="inlineStr">
        <is>
          <t>No</t>
        </is>
      </c>
      <c r="J527" t="inlineStr">
        <is>
          <t>0</t>
        </is>
      </c>
      <c r="K527" t="inlineStr">
        <is>
          <t>Healey, John F.</t>
        </is>
      </c>
      <c r="L527" t="inlineStr">
        <is>
          <t>Cardiff [England] (Dept. of Semitic Languages, University College, Cardiff CF1 1XL) : May be obtained direct ... from the author ; Birmingham [England] (B15 2TT) : [May be obtained] from the Secretary, Dept. of Theology, University of Birmingham, 1980.</t>
        </is>
      </c>
      <c r="M527" t="inlineStr">
        <is>
          <t>1980</t>
        </is>
      </c>
      <c r="O527" t="inlineStr">
        <is>
          <t>eng</t>
        </is>
      </c>
      <c r="P527" t="inlineStr">
        <is>
          <t>enk</t>
        </is>
      </c>
      <c r="Q527" t="inlineStr">
        <is>
          <t>University Semitics study aids ; 6</t>
        </is>
      </c>
      <c r="R527" t="inlineStr">
        <is>
          <t xml:space="preserve">PJ </t>
        </is>
      </c>
      <c r="S527" t="n">
        <v>2</v>
      </c>
      <c r="T527" t="n">
        <v>2</v>
      </c>
      <c r="U527" t="inlineStr">
        <is>
          <t>2005-06-13</t>
        </is>
      </c>
      <c r="V527" t="inlineStr">
        <is>
          <t>2005-06-13</t>
        </is>
      </c>
      <c r="W527" t="inlineStr">
        <is>
          <t>1993-05-03</t>
        </is>
      </c>
      <c r="X527" t="inlineStr">
        <is>
          <t>1993-05-03</t>
        </is>
      </c>
      <c r="Y527" t="n">
        <v>94</v>
      </c>
      <c r="Z527" t="n">
        <v>65</v>
      </c>
      <c r="AA527" t="n">
        <v>67</v>
      </c>
      <c r="AB527" t="n">
        <v>1</v>
      </c>
      <c r="AC527" t="n">
        <v>1</v>
      </c>
      <c r="AD527" t="n">
        <v>2</v>
      </c>
      <c r="AE527" t="n">
        <v>2</v>
      </c>
      <c r="AF527" t="n">
        <v>0</v>
      </c>
      <c r="AG527" t="n">
        <v>0</v>
      </c>
      <c r="AH527" t="n">
        <v>0</v>
      </c>
      <c r="AI527" t="n">
        <v>0</v>
      </c>
      <c r="AJ527" t="n">
        <v>2</v>
      </c>
      <c r="AK527" t="n">
        <v>2</v>
      </c>
      <c r="AL527" t="n">
        <v>0</v>
      </c>
      <c r="AM527" t="n">
        <v>0</v>
      </c>
      <c r="AN527" t="n">
        <v>0</v>
      </c>
      <c r="AO527" t="n">
        <v>0</v>
      </c>
      <c r="AP527" t="inlineStr">
        <is>
          <t>No</t>
        </is>
      </c>
      <c r="AQ527" t="inlineStr">
        <is>
          <t>Yes</t>
        </is>
      </c>
      <c r="AR527">
        <f>HYPERLINK("http://catalog.hathitrust.org/Record/007106398","HathiTrust Record")</f>
        <v/>
      </c>
      <c r="AS527">
        <f>HYPERLINK("https://creighton-primo.hosted.exlibrisgroup.com/primo-explore/search?tab=default_tab&amp;search_scope=EVERYTHING&amp;vid=01CRU&amp;lang=en_US&amp;offset=0&amp;query=any,contains,991000143329702656","Catalog Record")</f>
        <v/>
      </c>
      <c r="AT527">
        <f>HYPERLINK("http://www.worldcat.org/oclc/17018144","WorldCat Record")</f>
        <v/>
      </c>
      <c r="AU527" t="inlineStr">
        <is>
          <t>13453118:eng</t>
        </is>
      </c>
      <c r="AV527" t="inlineStr">
        <is>
          <t>17018144</t>
        </is>
      </c>
      <c r="AW527" t="inlineStr">
        <is>
          <t>991000143329702656</t>
        </is>
      </c>
      <c r="AX527" t="inlineStr">
        <is>
          <t>991000143329702656</t>
        </is>
      </c>
      <c r="AY527" t="inlineStr">
        <is>
          <t>2263786840002656</t>
        </is>
      </c>
      <c r="AZ527" t="inlineStr">
        <is>
          <t>BOOK</t>
        </is>
      </c>
      <c r="BB527" t="inlineStr">
        <is>
          <t>9780704403901</t>
        </is>
      </c>
      <c r="BC527" t="inlineStr">
        <is>
          <t>32285001671097</t>
        </is>
      </c>
      <c r="BD527" t="inlineStr">
        <is>
          <t>893534055</t>
        </is>
      </c>
    </row>
    <row r="528">
      <c r="A528" t="inlineStr">
        <is>
          <t>No</t>
        </is>
      </c>
      <c r="B528" t="inlineStr">
        <is>
          <t>PJ5491 .J4 1962</t>
        </is>
      </c>
      <c r="C528" t="inlineStr">
        <is>
          <t>0                      PJ 5491000J  4           1962</t>
        </is>
      </c>
      <c r="D528" t="inlineStr">
        <is>
          <t>Lexicon to the Syriac New Testament (Peshiṭta) with copious references, dictions, names of persons and places. and some various readings found in the Curetonian, Sinaitic palimpsest, Pholoxenian &amp; other mss., by William Jennings, revised by Ulric Gantillon.</t>
        </is>
      </c>
      <c r="F528" t="inlineStr">
        <is>
          <t>No</t>
        </is>
      </c>
      <c r="G528" t="inlineStr">
        <is>
          <t>1</t>
        </is>
      </c>
      <c r="H528" t="inlineStr">
        <is>
          <t>No</t>
        </is>
      </c>
      <c r="I528" t="inlineStr">
        <is>
          <t>No</t>
        </is>
      </c>
      <c r="J528" t="inlineStr">
        <is>
          <t>0</t>
        </is>
      </c>
      <c r="K528" t="inlineStr">
        <is>
          <t>Jennings, William, 1847-1927.</t>
        </is>
      </c>
      <c r="L528" t="inlineStr">
        <is>
          <t>Oxford, The Clarendon Press, [l962, l926]</t>
        </is>
      </c>
      <c r="M528" t="inlineStr">
        <is>
          <t>1962</t>
        </is>
      </c>
      <c r="O528" t="inlineStr">
        <is>
          <t>eng</t>
        </is>
      </c>
      <c r="P528" t="inlineStr">
        <is>
          <t xml:space="preserve">xx </t>
        </is>
      </c>
      <c r="R528" t="inlineStr">
        <is>
          <t xml:space="preserve">PJ </t>
        </is>
      </c>
      <c r="S528" t="n">
        <v>1</v>
      </c>
      <c r="T528" t="n">
        <v>1</v>
      </c>
      <c r="U528" t="inlineStr">
        <is>
          <t>2005-06-13</t>
        </is>
      </c>
      <c r="V528" t="inlineStr">
        <is>
          <t>2005-06-13</t>
        </is>
      </c>
      <c r="W528" t="inlineStr">
        <is>
          <t>1997-09-16</t>
        </is>
      </c>
      <c r="X528" t="inlineStr">
        <is>
          <t>1997-09-16</t>
        </is>
      </c>
      <c r="Y528" t="n">
        <v>49</v>
      </c>
      <c r="Z528" t="n">
        <v>44</v>
      </c>
      <c r="AA528" t="n">
        <v>45</v>
      </c>
      <c r="AB528" t="n">
        <v>1</v>
      </c>
      <c r="AC528" t="n">
        <v>1</v>
      </c>
      <c r="AD528" t="n">
        <v>2</v>
      </c>
      <c r="AE528" t="n">
        <v>2</v>
      </c>
      <c r="AF528" t="n">
        <v>1</v>
      </c>
      <c r="AG528" t="n">
        <v>1</v>
      </c>
      <c r="AH528" t="n">
        <v>1</v>
      </c>
      <c r="AI528" t="n">
        <v>1</v>
      </c>
      <c r="AJ528" t="n">
        <v>0</v>
      </c>
      <c r="AK528" t="n">
        <v>0</v>
      </c>
      <c r="AL528" t="n">
        <v>0</v>
      </c>
      <c r="AM528" t="n">
        <v>0</v>
      </c>
      <c r="AN528" t="n">
        <v>0</v>
      </c>
      <c r="AO528" t="n">
        <v>0</v>
      </c>
      <c r="AP528" t="inlineStr">
        <is>
          <t>No</t>
        </is>
      </c>
      <c r="AQ528" t="inlineStr">
        <is>
          <t>No</t>
        </is>
      </c>
      <c r="AS528">
        <f>HYPERLINK("https://creighton-primo.hosted.exlibrisgroup.com/primo-explore/search?tab=default_tab&amp;search_scope=EVERYTHING&amp;vid=01CRU&amp;lang=en_US&amp;offset=0&amp;query=any,contains,991003656509702656","Catalog Record")</f>
        <v/>
      </c>
      <c r="AT528">
        <f>HYPERLINK("http://www.worldcat.org/oclc/1261420","WorldCat Record")</f>
        <v/>
      </c>
      <c r="AU528" t="inlineStr">
        <is>
          <t>3377060553:eng</t>
        </is>
      </c>
      <c r="AV528" t="inlineStr">
        <is>
          <t>1261420</t>
        </is>
      </c>
      <c r="AW528" t="inlineStr">
        <is>
          <t>991003656509702656</t>
        </is>
      </c>
      <c r="AX528" t="inlineStr">
        <is>
          <t>991003656509702656</t>
        </is>
      </c>
      <c r="AY528" t="inlineStr">
        <is>
          <t>2263880660002656</t>
        </is>
      </c>
      <c r="AZ528" t="inlineStr">
        <is>
          <t>BOOK</t>
        </is>
      </c>
      <c r="BC528" t="inlineStr">
        <is>
          <t>32285003223178</t>
        </is>
      </c>
      <c r="BD528" t="inlineStr">
        <is>
          <t>893435246</t>
        </is>
      </c>
    </row>
    <row r="529">
      <c r="A529" t="inlineStr">
        <is>
          <t>No</t>
        </is>
      </c>
      <c r="B529" t="inlineStr">
        <is>
          <t>PJ601 .L5 v.13</t>
        </is>
      </c>
      <c r="C529" t="inlineStr">
        <is>
          <t>0                      PJ 0601000L  5                                                       v.13</t>
        </is>
      </c>
      <c r="D529" t="inlineStr">
        <is>
          <t>Les lettres d'El-Amarna : correspondance diplomatique du pharaon / traduction de William L. Moran, avec la collaboration de V. Haas et G. Wilhelm ; traduction française de Dominique Collon et Henri Cazelles.</t>
        </is>
      </c>
      <c r="E529" t="inlineStr">
        <is>
          <t>V.13</t>
        </is>
      </c>
      <c r="F529" t="inlineStr">
        <is>
          <t>No</t>
        </is>
      </c>
      <c r="G529" t="inlineStr">
        <is>
          <t>1</t>
        </is>
      </c>
      <c r="H529" t="inlineStr">
        <is>
          <t>No</t>
        </is>
      </c>
      <c r="I529" t="inlineStr">
        <is>
          <t>No</t>
        </is>
      </c>
      <c r="J529" t="inlineStr">
        <is>
          <t>0</t>
        </is>
      </c>
      <c r="K529" t="inlineStr">
        <is>
          <t>Tell el-Amarna tablets. French.</t>
        </is>
      </c>
      <c r="L529" t="inlineStr">
        <is>
          <t>Paris : Editions du Cerf, 1987.</t>
        </is>
      </c>
      <c r="M529" t="inlineStr">
        <is>
          <t>1987</t>
        </is>
      </c>
      <c r="O529" t="inlineStr">
        <is>
          <t>fre</t>
        </is>
      </c>
      <c r="P529" t="inlineStr">
        <is>
          <t xml:space="preserve">fr </t>
        </is>
      </c>
      <c r="Q529" t="inlineStr">
        <is>
          <t>Littératures anciennes du Proche-Orient, 0459-5831 ; 13</t>
        </is>
      </c>
      <c r="R529" t="inlineStr">
        <is>
          <t xml:space="preserve">PJ </t>
        </is>
      </c>
      <c r="S529" t="n">
        <v>1</v>
      </c>
      <c r="T529" t="n">
        <v>1</v>
      </c>
      <c r="U529" t="inlineStr">
        <is>
          <t>1992-04-20</t>
        </is>
      </c>
      <c r="V529" t="inlineStr">
        <is>
          <t>1992-04-20</t>
        </is>
      </c>
      <c r="W529" t="inlineStr">
        <is>
          <t>1992-04-20</t>
        </is>
      </c>
      <c r="X529" t="inlineStr">
        <is>
          <t>1992-04-20</t>
        </is>
      </c>
      <c r="Y529" t="n">
        <v>126</v>
      </c>
      <c r="Z529" t="n">
        <v>65</v>
      </c>
      <c r="AA529" t="n">
        <v>71</v>
      </c>
      <c r="AB529" t="n">
        <v>1</v>
      </c>
      <c r="AC529" t="n">
        <v>1</v>
      </c>
      <c r="AD529" t="n">
        <v>2</v>
      </c>
      <c r="AE529" t="n">
        <v>2</v>
      </c>
      <c r="AF529" t="n">
        <v>0</v>
      </c>
      <c r="AG529" t="n">
        <v>0</v>
      </c>
      <c r="AH529" t="n">
        <v>0</v>
      </c>
      <c r="AI529" t="n">
        <v>0</v>
      </c>
      <c r="AJ529" t="n">
        <v>2</v>
      </c>
      <c r="AK529" t="n">
        <v>2</v>
      </c>
      <c r="AL529" t="n">
        <v>0</v>
      </c>
      <c r="AM529" t="n">
        <v>0</v>
      </c>
      <c r="AN529" t="n">
        <v>0</v>
      </c>
      <c r="AO529" t="n">
        <v>0</v>
      </c>
      <c r="AP529" t="inlineStr">
        <is>
          <t>Yes</t>
        </is>
      </c>
      <c r="AQ529" t="inlineStr">
        <is>
          <t>No</t>
        </is>
      </c>
      <c r="AR529">
        <f>HYPERLINK("http://catalog.hathitrust.org/Record/001304089","HathiTrust Record")</f>
        <v/>
      </c>
      <c r="AS529">
        <f>HYPERLINK("https://creighton-primo.hosted.exlibrisgroup.com/primo-explore/search?tab=default_tab&amp;search_scope=EVERYTHING&amp;vid=01CRU&amp;lang=en_US&amp;offset=0&amp;query=any,contains,991001170689702656","Catalog Record")</f>
        <v/>
      </c>
      <c r="AT529">
        <f>HYPERLINK("http://www.worldcat.org/oclc/16952118","WorldCat Record")</f>
        <v/>
      </c>
      <c r="AU529" t="inlineStr">
        <is>
          <t>326739760:fre</t>
        </is>
      </c>
      <c r="AV529" t="inlineStr">
        <is>
          <t>16952118</t>
        </is>
      </c>
      <c r="AW529" t="inlineStr">
        <is>
          <t>991001170689702656</t>
        </is>
      </c>
      <c r="AX529" t="inlineStr">
        <is>
          <t>991001170689702656</t>
        </is>
      </c>
      <c r="AY529" t="inlineStr">
        <is>
          <t>2272427590002656</t>
        </is>
      </c>
      <c r="AZ529" t="inlineStr">
        <is>
          <t>BOOK</t>
        </is>
      </c>
      <c r="BB529" t="inlineStr">
        <is>
          <t>9782204026451</t>
        </is>
      </c>
      <c r="BC529" t="inlineStr">
        <is>
          <t>32285001063295</t>
        </is>
      </c>
      <c r="BD529" t="inlineStr">
        <is>
          <t>893528719</t>
        </is>
      </c>
    </row>
    <row r="530">
      <c r="A530" t="inlineStr">
        <is>
          <t>No</t>
        </is>
      </c>
      <c r="B530" t="inlineStr">
        <is>
          <t>PJ601 .L5 v.6</t>
        </is>
      </c>
      <c r="C530" t="inlineStr">
        <is>
          <t>0                      PJ 0601000L  5                                                       v.6</t>
        </is>
      </c>
      <c r="D530" t="inlineStr">
        <is>
          <t>Le code de Hammurapi. Introd., traduction et annotation de André Finet.</t>
        </is>
      </c>
      <c r="E530" t="inlineStr">
        <is>
          <t>V.6</t>
        </is>
      </c>
      <c r="F530" t="inlineStr">
        <is>
          <t>No</t>
        </is>
      </c>
      <c r="G530" t="inlineStr">
        <is>
          <t>1</t>
        </is>
      </c>
      <c r="H530" t="inlineStr">
        <is>
          <t>No</t>
        </is>
      </c>
      <c r="I530" t="inlineStr">
        <is>
          <t>No</t>
        </is>
      </c>
      <c r="J530" t="inlineStr">
        <is>
          <t>0</t>
        </is>
      </c>
      <c r="K530" t="inlineStr">
        <is>
          <t>Hammurabi, King of Babylonia.</t>
        </is>
      </c>
      <c r="L530" t="inlineStr">
        <is>
          <t>Paris, Éditions du Cerf [1973]</t>
        </is>
      </c>
      <c r="M530" t="inlineStr">
        <is>
          <t>1973</t>
        </is>
      </c>
      <c r="O530" t="inlineStr">
        <is>
          <t>fre</t>
        </is>
      </c>
      <c r="P530" t="inlineStr">
        <is>
          <t xml:space="preserve">fr </t>
        </is>
      </c>
      <c r="Q530" t="inlineStr">
        <is>
          <t>Littératures anciennes du Proche-Orient ; 6</t>
        </is>
      </c>
      <c r="R530" t="inlineStr">
        <is>
          <t xml:space="preserve">PJ </t>
        </is>
      </c>
      <c r="S530" t="n">
        <v>2</v>
      </c>
      <c r="T530" t="n">
        <v>2</v>
      </c>
      <c r="U530" t="inlineStr">
        <is>
          <t>1999-02-11</t>
        </is>
      </c>
      <c r="V530" t="inlineStr">
        <is>
          <t>1999-02-11</t>
        </is>
      </c>
      <c r="W530" t="inlineStr">
        <is>
          <t>1993-04-28</t>
        </is>
      </c>
      <c r="X530" t="inlineStr">
        <is>
          <t>1993-04-28</t>
        </is>
      </c>
      <c r="Y530" t="n">
        <v>139</v>
      </c>
      <c r="Z530" t="n">
        <v>68</v>
      </c>
      <c r="AA530" t="n">
        <v>77</v>
      </c>
      <c r="AB530" t="n">
        <v>1</v>
      </c>
      <c r="AC530" t="n">
        <v>1</v>
      </c>
      <c r="AD530" t="n">
        <v>3</v>
      </c>
      <c r="AE530" t="n">
        <v>3</v>
      </c>
      <c r="AF530" t="n">
        <v>0</v>
      </c>
      <c r="AG530" t="n">
        <v>0</v>
      </c>
      <c r="AH530" t="n">
        <v>0</v>
      </c>
      <c r="AI530" t="n">
        <v>0</v>
      </c>
      <c r="AJ530" t="n">
        <v>3</v>
      </c>
      <c r="AK530" t="n">
        <v>3</v>
      </c>
      <c r="AL530" t="n">
        <v>0</v>
      </c>
      <c r="AM530" t="n">
        <v>0</v>
      </c>
      <c r="AN530" t="n">
        <v>0</v>
      </c>
      <c r="AO530" t="n">
        <v>0</v>
      </c>
      <c r="AP530" t="inlineStr">
        <is>
          <t>No</t>
        </is>
      </c>
      <c r="AQ530" t="inlineStr">
        <is>
          <t>Yes</t>
        </is>
      </c>
      <c r="AR530">
        <f>HYPERLINK("http://catalog.hathitrust.org/Record/007882442","HathiTrust Record")</f>
        <v/>
      </c>
      <c r="AS530">
        <f>HYPERLINK("https://creighton-primo.hosted.exlibrisgroup.com/primo-explore/search?tab=default_tab&amp;search_scope=EVERYTHING&amp;vid=01CRU&amp;lang=en_US&amp;offset=0&amp;query=any,contains,991004328559702656","Catalog Record")</f>
        <v/>
      </c>
      <c r="AT530">
        <f>HYPERLINK("http://www.worldcat.org/oclc/3051843","WorldCat Record")</f>
        <v/>
      </c>
      <c r="AU530" t="inlineStr">
        <is>
          <t>2865427436:fre</t>
        </is>
      </c>
      <c r="AV530" t="inlineStr">
        <is>
          <t>3051843</t>
        </is>
      </c>
      <c r="AW530" t="inlineStr">
        <is>
          <t>991004328559702656</t>
        </is>
      </c>
      <c r="AX530" t="inlineStr">
        <is>
          <t>991004328559702656</t>
        </is>
      </c>
      <c r="AY530" t="inlineStr">
        <is>
          <t>2265083170002656</t>
        </is>
      </c>
      <c r="AZ530" t="inlineStr">
        <is>
          <t>BOOK</t>
        </is>
      </c>
      <c r="BC530" t="inlineStr">
        <is>
          <t>32285001670297</t>
        </is>
      </c>
      <c r="BD530" t="inlineStr">
        <is>
          <t>893442490</t>
        </is>
      </c>
    </row>
    <row r="531">
      <c r="A531" t="inlineStr">
        <is>
          <t>No</t>
        </is>
      </c>
      <c r="B531" t="inlineStr">
        <is>
          <t>PJ6064.K5 E27 1998</t>
        </is>
      </c>
      <c r="C531" t="inlineStr">
        <is>
          <t>0                      PJ 6064000K  5                  E  27          1998</t>
        </is>
      </c>
      <c r="D531" t="inlineStr">
        <is>
          <t>Early medieval Arabic : studies on al-Khalīl ibn Ahmad / edited by Karin C. Ryding.</t>
        </is>
      </c>
      <c r="F531" t="inlineStr">
        <is>
          <t>No</t>
        </is>
      </c>
      <c r="G531" t="inlineStr">
        <is>
          <t>1</t>
        </is>
      </c>
      <c r="H531" t="inlineStr">
        <is>
          <t>No</t>
        </is>
      </c>
      <c r="I531" t="inlineStr">
        <is>
          <t>No</t>
        </is>
      </c>
      <c r="J531" t="inlineStr">
        <is>
          <t>0</t>
        </is>
      </c>
      <c r="L531" t="inlineStr">
        <is>
          <t>Washington, D.C. : Georgetown University Press, c1998.</t>
        </is>
      </c>
      <c r="M531" t="inlineStr">
        <is>
          <t>1998</t>
        </is>
      </c>
      <c r="O531" t="inlineStr">
        <is>
          <t>eng</t>
        </is>
      </c>
      <c r="P531" t="inlineStr">
        <is>
          <t>dcu</t>
        </is>
      </c>
      <c r="R531" t="inlineStr">
        <is>
          <t xml:space="preserve">PJ </t>
        </is>
      </c>
      <c r="S531" t="n">
        <v>3</v>
      </c>
      <c r="T531" t="n">
        <v>3</v>
      </c>
      <c r="U531" t="inlineStr">
        <is>
          <t>2001-07-17</t>
        </is>
      </c>
      <c r="V531" t="inlineStr">
        <is>
          <t>2001-07-17</t>
        </is>
      </c>
      <c r="W531" t="inlineStr">
        <is>
          <t>2001-06-04</t>
        </is>
      </c>
      <c r="X531" t="inlineStr">
        <is>
          <t>2001-06-04</t>
        </is>
      </c>
      <c r="Y531" t="n">
        <v>150</v>
      </c>
      <c r="Z531" t="n">
        <v>103</v>
      </c>
      <c r="AA531" t="n">
        <v>103</v>
      </c>
      <c r="AB531" t="n">
        <v>2</v>
      </c>
      <c r="AC531" t="n">
        <v>2</v>
      </c>
      <c r="AD531" t="n">
        <v>3</v>
      </c>
      <c r="AE531" t="n">
        <v>3</v>
      </c>
      <c r="AF531" t="n">
        <v>0</v>
      </c>
      <c r="AG531" t="n">
        <v>0</v>
      </c>
      <c r="AH531" t="n">
        <v>1</v>
      </c>
      <c r="AI531" t="n">
        <v>1</v>
      </c>
      <c r="AJ531" t="n">
        <v>2</v>
      </c>
      <c r="AK531" t="n">
        <v>2</v>
      </c>
      <c r="AL531" t="n">
        <v>1</v>
      </c>
      <c r="AM531" t="n">
        <v>1</v>
      </c>
      <c r="AN531" t="n">
        <v>0</v>
      </c>
      <c r="AO531" t="n">
        <v>0</v>
      </c>
      <c r="AP531" t="inlineStr">
        <is>
          <t>No</t>
        </is>
      </c>
      <c r="AQ531" t="inlineStr">
        <is>
          <t>No</t>
        </is>
      </c>
      <c r="AS531">
        <f>HYPERLINK("https://creighton-primo.hosted.exlibrisgroup.com/primo-explore/search?tab=default_tab&amp;search_scope=EVERYTHING&amp;vid=01CRU&amp;lang=en_US&amp;offset=0&amp;query=any,contains,991003505589702656","Catalog Record")</f>
        <v/>
      </c>
      <c r="AT531">
        <f>HYPERLINK("http://www.worldcat.org/oclc/37527681","WorldCat Record")</f>
        <v/>
      </c>
      <c r="AU531" t="inlineStr">
        <is>
          <t>643891:eng</t>
        </is>
      </c>
      <c r="AV531" t="inlineStr">
        <is>
          <t>37527681</t>
        </is>
      </c>
      <c r="AW531" t="inlineStr">
        <is>
          <t>991003505589702656</t>
        </is>
      </c>
      <c r="AX531" t="inlineStr">
        <is>
          <t>991003505589702656</t>
        </is>
      </c>
      <c r="AY531" t="inlineStr">
        <is>
          <t>2265081070002656</t>
        </is>
      </c>
      <c r="AZ531" t="inlineStr">
        <is>
          <t>BOOK</t>
        </is>
      </c>
      <c r="BB531" t="inlineStr">
        <is>
          <t>9780878406630</t>
        </is>
      </c>
      <c r="BC531" t="inlineStr">
        <is>
          <t>32285004319538</t>
        </is>
      </c>
      <c r="BD531" t="inlineStr">
        <is>
          <t>893793664</t>
        </is>
      </c>
    </row>
    <row r="532">
      <c r="A532" t="inlineStr">
        <is>
          <t>No</t>
        </is>
      </c>
      <c r="B532" t="inlineStr">
        <is>
          <t>PJ6307 .M24 1892</t>
        </is>
      </c>
      <c r="C532" t="inlineStr">
        <is>
          <t>0                      PJ 6307000M  24          1892</t>
        </is>
      </c>
      <c r="D532" t="inlineStr">
        <is>
          <t>Grammaire élémentaire d'arabe régulier, contenant des tableaux pour la conjugaison de tous les verbes irréguliers et des modèles d'analyse / par L. Machuel.</t>
        </is>
      </c>
      <c r="F532" t="inlineStr">
        <is>
          <t>No</t>
        </is>
      </c>
      <c r="G532" t="inlineStr">
        <is>
          <t>1</t>
        </is>
      </c>
      <c r="H532" t="inlineStr">
        <is>
          <t>No</t>
        </is>
      </c>
      <c r="I532" t="inlineStr">
        <is>
          <t>No</t>
        </is>
      </c>
      <c r="J532" t="inlineStr">
        <is>
          <t>0</t>
        </is>
      </c>
      <c r="K532" t="inlineStr">
        <is>
          <t>Machuel, L. (Louis), -1922.</t>
        </is>
      </c>
      <c r="L532" t="inlineStr">
        <is>
          <t>Alger : A. Jourdan, 1892.</t>
        </is>
      </c>
      <c r="M532" t="inlineStr">
        <is>
          <t>1892</t>
        </is>
      </c>
      <c r="N532" t="inlineStr">
        <is>
          <t>2e éd.</t>
        </is>
      </c>
      <c r="O532" t="inlineStr">
        <is>
          <t>fre</t>
        </is>
      </c>
      <c r="P532" t="inlineStr">
        <is>
          <t xml:space="preserve">ae </t>
        </is>
      </c>
      <c r="R532" t="inlineStr">
        <is>
          <t xml:space="preserve">PJ </t>
        </is>
      </c>
      <c r="S532" t="n">
        <v>1</v>
      </c>
      <c r="T532" t="n">
        <v>1</v>
      </c>
      <c r="U532" t="inlineStr">
        <is>
          <t>1998-01-15</t>
        </is>
      </c>
      <c r="V532" t="inlineStr">
        <is>
          <t>1998-01-15</t>
        </is>
      </c>
      <c r="W532" t="inlineStr">
        <is>
          <t>1997-11-05</t>
        </is>
      </c>
      <c r="X532" t="inlineStr">
        <is>
          <t>1997-11-05</t>
        </is>
      </c>
      <c r="Y532" t="n">
        <v>12</v>
      </c>
      <c r="Z532" t="n">
        <v>5</v>
      </c>
      <c r="AA532" t="n">
        <v>14</v>
      </c>
      <c r="AB532" t="n">
        <v>1</v>
      </c>
      <c r="AC532" t="n">
        <v>1</v>
      </c>
      <c r="AD532" t="n">
        <v>0</v>
      </c>
      <c r="AE532" t="n">
        <v>0</v>
      </c>
      <c r="AF532" t="n">
        <v>0</v>
      </c>
      <c r="AG532" t="n">
        <v>0</v>
      </c>
      <c r="AH532" t="n">
        <v>0</v>
      </c>
      <c r="AI532" t="n">
        <v>0</v>
      </c>
      <c r="AJ532" t="n">
        <v>0</v>
      </c>
      <c r="AK532" t="n">
        <v>0</v>
      </c>
      <c r="AL532" t="n">
        <v>0</v>
      </c>
      <c r="AM532" t="n">
        <v>0</v>
      </c>
      <c r="AN532" t="n">
        <v>0</v>
      </c>
      <c r="AO532" t="n">
        <v>0</v>
      </c>
      <c r="AP532" t="inlineStr">
        <is>
          <t>Yes</t>
        </is>
      </c>
      <c r="AQ532" t="inlineStr">
        <is>
          <t>No</t>
        </is>
      </c>
      <c r="AR532">
        <f>HYPERLINK("http://catalog.hathitrust.org/Record/008467589","HathiTrust Record")</f>
        <v/>
      </c>
      <c r="AS532">
        <f>HYPERLINK("https://creighton-primo.hosted.exlibrisgroup.com/primo-explore/search?tab=default_tab&amp;search_scope=EVERYTHING&amp;vid=01CRU&amp;lang=en_US&amp;offset=0&amp;query=any,contains,991002394669702656","Catalog Record")</f>
        <v/>
      </c>
      <c r="AT532">
        <f>HYPERLINK("http://www.worldcat.org/oclc/31090177","WorldCat Record")</f>
        <v/>
      </c>
      <c r="AU532" t="inlineStr">
        <is>
          <t>15002804:fre</t>
        </is>
      </c>
      <c r="AV532" t="inlineStr">
        <is>
          <t>31090177</t>
        </is>
      </c>
      <c r="AW532" t="inlineStr">
        <is>
          <t>991002394669702656</t>
        </is>
      </c>
      <c r="AX532" t="inlineStr">
        <is>
          <t>991002394669702656</t>
        </is>
      </c>
      <c r="AY532" t="inlineStr">
        <is>
          <t>2263172230002656</t>
        </is>
      </c>
      <c r="AZ532" t="inlineStr">
        <is>
          <t>BOOK</t>
        </is>
      </c>
      <c r="BC532" t="inlineStr">
        <is>
          <t>32285003275657</t>
        </is>
      </c>
      <c r="BD532" t="inlineStr">
        <is>
          <t>893685314</t>
        </is>
      </c>
    </row>
    <row r="533">
      <c r="A533" t="inlineStr">
        <is>
          <t>No</t>
        </is>
      </c>
      <c r="B533" t="inlineStr">
        <is>
          <t>PJ6307 .T45 1993</t>
        </is>
      </c>
      <c r="C533" t="inlineStr">
        <is>
          <t>0                      PJ 6307000T  45          1993</t>
        </is>
      </c>
      <c r="D533" t="inlineStr">
        <is>
          <t>Arabic grammar of the written language / G. W. Thatcher.</t>
        </is>
      </c>
      <c r="F533" t="inlineStr">
        <is>
          <t>No</t>
        </is>
      </c>
      <c r="G533" t="inlineStr">
        <is>
          <t>1</t>
        </is>
      </c>
      <c r="H533" t="inlineStr">
        <is>
          <t>No</t>
        </is>
      </c>
      <c r="I533" t="inlineStr">
        <is>
          <t>No</t>
        </is>
      </c>
      <c r="J533" t="inlineStr">
        <is>
          <t>0</t>
        </is>
      </c>
      <c r="K533" t="inlineStr">
        <is>
          <t>Thatcher, G. W. (Griffithes Wheeler), 1863-1950.</t>
        </is>
      </c>
      <c r="L533" t="inlineStr">
        <is>
          <t>New York, NY. : Hippocrene books, Inc., c1993, c1982.</t>
        </is>
      </c>
      <c r="M533" t="inlineStr">
        <is>
          <t>1993</t>
        </is>
      </c>
      <c r="O533" t="inlineStr">
        <is>
          <t>eng</t>
        </is>
      </c>
      <c r="P533" t="inlineStr">
        <is>
          <t>nyu</t>
        </is>
      </c>
      <c r="R533" t="inlineStr">
        <is>
          <t xml:space="preserve">PJ </t>
        </is>
      </c>
      <c r="S533" t="n">
        <v>17</v>
      </c>
      <c r="T533" t="n">
        <v>17</v>
      </c>
      <c r="U533" t="inlineStr">
        <is>
          <t>2009-05-01</t>
        </is>
      </c>
      <c r="V533" t="inlineStr">
        <is>
          <t>2009-05-01</t>
        </is>
      </c>
      <c r="W533" t="inlineStr">
        <is>
          <t>1993-09-08</t>
        </is>
      </c>
      <c r="X533" t="inlineStr">
        <is>
          <t>1993-09-08</t>
        </is>
      </c>
      <c r="Y533" t="n">
        <v>70</v>
      </c>
      <c r="Z533" t="n">
        <v>62</v>
      </c>
      <c r="AA533" t="n">
        <v>255</v>
      </c>
      <c r="AB533" t="n">
        <v>1</v>
      </c>
      <c r="AC533" t="n">
        <v>2</v>
      </c>
      <c r="AD533" t="n">
        <v>0</v>
      </c>
      <c r="AE533" t="n">
        <v>6</v>
      </c>
      <c r="AF533" t="n">
        <v>0</v>
      </c>
      <c r="AG533" t="n">
        <v>2</v>
      </c>
      <c r="AH533" t="n">
        <v>0</v>
      </c>
      <c r="AI533" t="n">
        <v>2</v>
      </c>
      <c r="AJ533" t="n">
        <v>0</v>
      </c>
      <c r="AK533" t="n">
        <v>3</v>
      </c>
      <c r="AL533" t="n">
        <v>0</v>
      </c>
      <c r="AM533" t="n">
        <v>1</v>
      </c>
      <c r="AN533" t="n">
        <v>0</v>
      </c>
      <c r="AO533" t="n">
        <v>0</v>
      </c>
      <c r="AP533" t="inlineStr">
        <is>
          <t>No</t>
        </is>
      </c>
      <c r="AQ533" t="inlineStr">
        <is>
          <t>Yes</t>
        </is>
      </c>
      <c r="AR533">
        <f>HYPERLINK("http://catalog.hathitrust.org/Record/007141599","HathiTrust Record")</f>
        <v/>
      </c>
      <c r="AS533">
        <f>HYPERLINK("https://creighton-primo.hosted.exlibrisgroup.com/primo-explore/search?tab=default_tab&amp;search_scope=EVERYTHING&amp;vid=01CRU&amp;lang=en_US&amp;offset=0&amp;query=any,contains,991002226859702656","Catalog Record")</f>
        <v/>
      </c>
      <c r="AT533">
        <f>HYPERLINK("http://www.worldcat.org/oclc/28686192","WorldCat Record")</f>
        <v/>
      </c>
      <c r="AU533" t="inlineStr">
        <is>
          <t>2273849:eng</t>
        </is>
      </c>
      <c r="AV533" t="inlineStr">
        <is>
          <t>28686192</t>
        </is>
      </c>
      <c r="AW533" t="inlineStr">
        <is>
          <t>991002226859702656</t>
        </is>
      </c>
      <c r="AX533" t="inlineStr">
        <is>
          <t>991002226859702656</t>
        </is>
      </c>
      <c r="AY533" t="inlineStr">
        <is>
          <t>2256653540002656</t>
        </is>
      </c>
      <c r="AZ533" t="inlineStr">
        <is>
          <t>BOOK</t>
        </is>
      </c>
      <c r="BB533" t="inlineStr">
        <is>
          <t>9780870521010</t>
        </is>
      </c>
      <c r="BC533" t="inlineStr">
        <is>
          <t>32285001729945</t>
        </is>
      </c>
      <c r="BD533" t="inlineStr">
        <is>
          <t>893439910</t>
        </is>
      </c>
    </row>
    <row r="534">
      <c r="A534" t="inlineStr">
        <is>
          <t>No</t>
        </is>
      </c>
      <c r="B534" t="inlineStr">
        <is>
          <t>PJ6311 .L9</t>
        </is>
      </c>
      <c r="C534" t="inlineStr">
        <is>
          <t>0                      PJ 6311000L  9</t>
        </is>
      </c>
      <c r="D534" t="inlineStr">
        <is>
          <t>An elementary classical Arabic reader.</t>
        </is>
      </c>
      <c r="F534" t="inlineStr">
        <is>
          <t>No</t>
        </is>
      </c>
      <c r="G534" t="inlineStr">
        <is>
          <t>1</t>
        </is>
      </c>
      <c r="H534" t="inlineStr">
        <is>
          <t>No</t>
        </is>
      </c>
      <c r="I534" t="inlineStr">
        <is>
          <t>No</t>
        </is>
      </c>
      <c r="J534" t="inlineStr">
        <is>
          <t>0</t>
        </is>
      </c>
      <c r="K534" t="inlineStr">
        <is>
          <t>Lyons, M. C. (Malcolm Cameron)</t>
        </is>
      </c>
      <c r="L534" t="inlineStr">
        <is>
          <t>[Cambridge Eng.] : Cambridge University Press, 1962.</t>
        </is>
      </c>
      <c r="M534" t="inlineStr">
        <is>
          <t>1962</t>
        </is>
      </c>
      <c r="O534" t="inlineStr">
        <is>
          <t>ara</t>
        </is>
      </c>
      <c r="P534" t="inlineStr">
        <is>
          <t>enk</t>
        </is>
      </c>
      <c r="R534" t="inlineStr">
        <is>
          <t xml:space="preserve">PJ </t>
        </is>
      </c>
      <c r="S534" t="n">
        <v>2</v>
      </c>
      <c r="T534" t="n">
        <v>2</v>
      </c>
      <c r="U534" t="inlineStr">
        <is>
          <t>2005-10-27</t>
        </is>
      </c>
      <c r="V534" t="inlineStr">
        <is>
          <t>2005-10-27</t>
        </is>
      </c>
      <c r="W534" t="inlineStr">
        <is>
          <t>1997-09-16</t>
        </is>
      </c>
      <c r="X534" t="inlineStr">
        <is>
          <t>1997-09-16</t>
        </is>
      </c>
      <c r="Y534" t="n">
        <v>207</v>
      </c>
      <c r="Z534" t="n">
        <v>148</v>
      </c>
      <c r="AA534" t="n">
        <v>148</v>
      </c>
      <c r="AB534" t="n">
        <v>2</v>
      </c>
      <c r="AC534" t="n">
        <v>2</v>
      </c>
      <c r="AD534" t="n">
        <v>5</v>
      </c>
      <c r="AE534" t="n">
        <v>5</v>
      </c>
      <c r="AF534" t="n">
        <v>1</v>
      </c>
      <c r="AG534" t="n">
        <v>1</v>
      </c>
      <c r="AH534" t="n">
        <v>1</v>
      </c>
      <c r="AI534" t="n">
        <v>1</v>
      </c>
      <c r="AJ534" t="n">
        <v>2</v>
      </c>
      <c r="AK534" t="n">
        <v>2</v>
      </c>
      <c r="AL534" t="n">
        <v>1</v>
      </c>
      <c r="AM534" t="n">
        <v>1</v>
      </c>
      <c r="AN534" t="n">
        <v>0</v>
      </c>
      <c r="AO534" t="n">
        <v>0</v>
      </c>
      <c r="AP534" t="inlineStr">
        <is>
          <t>No</t>
        </is>
      </c>
      <c r="AQ534" t="inlineStr">
        <is>
          <t>No</t>
        </is>
      </c>
      <c r="AS534">
        <f>HYPERLINK("https://creighton-primo.hosted.exlibrisgroup.com/primo-explore/search?tab=default_tab&amp;search_scope=EVERYTHING&amp;vid=01CRU&amp;lang=en_US&amp;offset=0&amp;query=any,contains,991002338789702656","Catalog Record")</f>
        <v/>
      </c>
      <c r="AT534">
        <f>HYPERLINK("http://www.worldcat.org/oclc/323374","WorldCat Record")</f>
        <v/>
      </c>
      <c r="AU534" t="inlineStr">
        <is>
          <t>1406762:ara</t>
        </is>
      </c>
      <c r="AV534" t="inlineStr">
        <is>
          <t>323374</t>
        </is>
      </c>
      <c r="AW534" t="inlineStr">
        <is>
          <t>991002338789702656</t>
        </is>
      </c>
      <c r="AX534" t="inlineStr">
        <is>
          <t>991002338789702656</t>
        </is>
      </c>
      <c r="AY534" t="inlineStr">
        <is>
          <t>2256769840002656</t>
        </is>
      </c>
      <c r="AZ534" t="inlineStr">
        <is>
          <t>BOOK</t>
        </is>
      </c>
      <c r="BC534" t="inlineStr">
        <is>
          <t>32285003223186</t>
        </is>
      </c>
      <c r="BD534" t="inlineStr">
        <is>
          <t>893523487</t>
        </is>
      </c>
    </row>
    <row r="535">
      <c r="A535" t="inlineStr">
        <is>
          <t>No</t>
        </is>
      </c>
      <c r="B535" t="inlineStr">
        <is>
          <t>PJ6645.F6 B5</t>
        </is>
      </c>
      <c r="C535" t="inlineStr">
        <is>
          <t>0                      PJ 6645000F  6                  B  5</t>
        </is>
      </c>
      <c r="D535" t="inlineStr">
        <is>
          <t>Dictionnaire arabe-français : contenant toutes les racines de la langue arabe, leurs dérivés, tant dans l'idiome vulgaire que dans l'idiome litéral, ainsi que les dialectes d'Alger et de Maroc / par A. de Biberstein Kazimirski.</t>
        </is>
      </c>
      <c r="E535" t="inlineStr">
        <is>
          <t>V.1</t>
        </is>
      </c>
      <c r="F535" t="inlineStr">
        <is>
          <t>Yes</t>
        </is>
      </c>
      <c r="G535" t="inlineStr">
        <is>
          <t>1</t>
        </is>
      </c>
      <c r="H535" t="inlineStr">
        <is>
          <t>No</t>
        </is>
      </c>
      <c r="I535" t="inlineStr">
        <is>
          <t>No</t>
        </is>
      </c>
      <c r="J535" t="inlineStr">
        <is>
          <t>0</t>
        </is>
      </c>
      <c r="K535" t="inlineStr">
        <is>
          <t>Biberstein-Kazimirski, Albert de, 1808-1887.</t>
        </is>
      </c>
      <c r="L535" t="inlineStr">
        <is>
          <t>Beyrouth : Libraire du Liban, [197-?]</t>
        </is>
      </c>
      <c r="M535" t="inlineStr">
        <is>
          <t>1970</t>
        </is>
      </c>
      <c r="O535" t="inlineStr">
        <is>
          <t>fre</t>
        </is>
      </c>
      <c r="P535" t="inlineStr">
        <is>
          <t xml:space="preserve">le </t>
        </is>
      </c>
      <c r="R535" t="inlineStr">
        <is>
          <t xml:space="preserve">PJ </t>
        </is>
      </c>
      <c r="S535" t="n">
        <v>3</v>
      </c>
      <c r="T535" t="n">
        <v>6</v>
      </c>
      <c r="U535" t="inlineStr">
        <is>
          <t>1996-09-30</t>
        </is>
      </c>
      <c r="V535" t="inlineStr">
        <is>
          <t>1996-09-30</t>
        </is>
      </c>
      <c r="W535" t="inlineStr">
        <is>
          <t>1993-05-04</t>
        </is>
      </c>
      <c r="X535" t="inlineStr">
        <is>
          <t>1993-05-04</t>
        </is>
      </c>
      <c r="Y535" t="n">
        <v>19</v>
      </c>
      <c r="Z535" t="n">
        <v>16</v>
      </c>
      <c r="AA535" t="n">
        <v>59</v>
      </c>
      <c r="AB535" t="n">
        <v>1</v>
      </c>
      <c r="AC535" t="n">
        <v>1</v>
      </c>
      <c r="AD535" t="n">
        <v>0</v>
      </c>
      <c r="AE535" t="n">
        <v>1</v>
      </c>
      <c r="AF535" t="n">
        <v>0</v>
      </c>
      <c r="AG535" t="n">
        <v>0</v>
      </c>
      <c r="AH535" t="n">
        <v>0</v>
      </c>
      <c r="AI535" t="n">
        <v>1</v>
      </c>
      <c r="AJ535" t="n">
        <v>0</v>
      </c>
      <c r="AK535" t="n">
        <v>1</v>
      </c>
      <c r="AL535" t="n">
        <v>0</v>
      </c>
      <c r="AM535" t="n">
        <v>0</v>
      </c>
      <c r="AN535" t="n">
        <v>0</v>
      </c>
      <c r="AO535" t="n">
        <v>0</v>
      </c>
      <c r="AP535" t="inlineStr">
        <is>
          <t>No</t>
        </is>
      </c>
      <c r="AQ535" t="inlineStr">
        <is>
          <t>No</t>
        </is>
      </c>
      <c r="AS535">
        <f>HYPERLINK("https://creighton-primo.hosted.exlibrisgroup.com/primo-explore/search?tab=default_tab&amp;search_scope=EVERYTHING&amp;vid=01CRU&amp;lang=en_US&amp;offset=0&amp;query=any,contains,991004013399702656","Catalog Record")</f>
        <v/>
      </c>
      <c r="AT535">
        <f>HYPERLINK("http://www.worldcat.org/oclc/16739024","WorldCat Record")</f>
        <v/>
      </c>
      <c r="AU535" t="inlineStr">
        <is>
          <t>9593543239:fre</t>
        </is>
      </c>
      <c r="AV535" t="inlineStr">
        <is>
          <t>16739024</t>
        </is>
      </c>
      <c r="AW535" t="inlineStr">
        <is>
          <t>991004013399702656</t>
        </is>
      </c>
      <c r="AX535" t="inlineStr">
        <is>
          <t>991004013399702656</t>
        </is>
      </c>
      <c r="AY535" t="inlineStr">
        <is>
          <t>2265611720002656</t>
        </is>
      </c>
      <c r="AZ535" t="inlineStr">
        <is>
          <t>BOOK</t>
        </is>
      </c>
      <c r="BC535" t="inlineStr">
        <is>
          <t>32285001671212</t>
        </is>
      </c>
      <c r="BD535" t="inlineStr">
        <is>
          <t>893794377</t>
        </is>
      </c>
    </row>
    <row r="536">
      <c r="A536" t="inlineStr">
        <is>
          <t>No</t>
        </is>
      </c>
      <c r="B536" t="inlineStr">
        <is>
          <t>PJ6645.F6 B5</t>
        </is>
      </c>
      <c r="C536" t="inlineStr">
        <is>
          <t>0                      PJ 6645000F  6                  B  5</t>
        </is>
      </c>
      <c r="D536" t="inlineStr">
        <is>
          <t>Dictionnaire arabe-français : contenant toutes les racines de la langue arabe, leurs dérivés, tant dans l'idiome vulgaire que dans l'idiome litéral, ainsi que les dialectes d'Alger et de Maroc / par A. de Biberstein Kazimirski.</t>
        </is>
      </c>
      <c r="E536" t="inlineStr">
        <is>
          <t>V.2</t>
        </is>
      </c>
      <c r="F536" t="inlineStr">
        <is>
          <t>Yes</t>
        </is>
      </c>
      <c r="G536" t="inlineStr">
        <is>
          <t>1</t>
        </is>
      </c>
      <c r="H536" t="inlineStr">
        <is>
          <t>No</t>
        </is>
      </c>
      <c r="I536" t="inlineStr">
        <is>
          <t>No</t>
        </is>
      </c>
      <c r="J536" t="inlineStr">
        <is>
          <t>0</t>
        </is>
      </c>
      <c r="K536" t="inlineStr">
        <is>
          <t>Biberstein-Kazimirski, Albert de, 1808-1887.</t>
        </is>
      </c>
      <c r="L536" t="inlineStr">
        <is>
          <t>Beyrouth : Libraire du Liban, [197-?]</t>
        </is>
      </c>
      <c r="M536" t="inlineStr">
        <is>
          <t>1970</t>
        </is>
      </c>
      <c r="O536" t="inlineStr">
        <is>
          <t>fre</t>
        </is>
      </c>
      <c r="P536" t="inlineStr">
        <is>
          <t xml:space="preserve">le </t>
        </is>
      </c>
      <c r="R536" t="inlineStr">
        <is>
          <t xml:space="preserve">PJ </t>
        </is>
      </c>
      <c r="S536" t="n">
        <v>3</v>
      </c>
      <c r="T536" t="n">
        <v>6</v>
      </c>
      <c r="U536" t="inlineStr">
        <is>
          <t>1996-09-30</t>
        </is>
      </c>
      <c r="V536" t="inlineStr">
        <is>
          <t>1996-09-30</t>
        </is>
      </c>
      <c r="W536" t="inlineStr">
        <is>
          <t>1993-05-04</t>
        </is>
      </c>
      <c r="X536" t="inlineStr">
        <is>
          <t>1993-05-04</t>
        </is>
      </c>
      <c r="Y536" t="n">
        <v>19</v>
      </c>
      <c r="Z536" t="n">
        <v>16</v>
      </c>
      <c r="AA536" t="n">
        <v>59</v>
      </c>
      <c r="AB536" t="n">
        <v>1</v>
      </c>
      <c r="AC536" t="n">
        <v>1</v>
      </c>
      <c r="AD536" t="n">
        <v>0</v>
      </c>
      <c r="AE536" t="n">
        <v>1</v>
      </c>
      <c r="AF536" t="n">
        <v>0</v>
      </c>
      <c r="AG536" t="n">
        <v>0</v>
      </c>
      <c r="AH536" t="n">
        <v>0</v>
      </c>
      <c r="AI536" t="n">
        <v>1</v>
      </c>
      <c r="AJ536" t="n">
        <v>0</v>
      </c>
      <c r="AK536" t="n">
        <v>1</v>
      </c>
      <c r="AL536" t="n">
        <v>0</v>
      </c>
      <c r="AM536" t="n">
        <v>0</v>
      </c>
      <c r="AN536" t="n">
        <v>0</v>
      </c>
      <c r="AO536" t="n">
        <v>0</v>
      </c>
      <c r="AP536" t="inlineStr">
        <is>
          <t>No</t>
        </is>
      </c>
      <c r="AQ536" t="inlineStr">
        <is>
          <t>No</t>
        </is>
      </c>
      <c r="AS536">
        <f>HYPERLINK("https://creighton-primo.hosted.exlibrisgroup.com/primo-explore/search?tab=default_tab&amp;search_scope=EVERYTHING&amp;vid=01CRU&amp;lang=en_US&amp;offset=0&amp;query=any,contains,991004013399702656","Catalog Record")</f>
        <v/>
      </c>
      <c r="AT536">
        <f>HYPERLINK("http://www.worldcat.org/oclc/16739024","WorldCat Record")</f>
        <v/>
      </c>
      <c r="AU536" t="inlineStr">
        <is>
          <t>9593543239:fre</t>
        </is>
      </c>
      <c r="AV536" t="inlineStr">
        <is>
          <t>16739024</t>
        </is>
      </c>
      <c r="AW536" t="inlineStr">
        <is>
          <t>991004013399702656</t>
        </is>
      </c>
      <c r="AX536" t="inlineStr">
        <is>
          <t>991004013399702656</t>
        </is>
      </c>
      <c r="AY536" t="inlineStr">
        <is>
          <t>2265611720002656</t>
        </is>
      </c>
      <c r="AZ536" t="inlineStr">
        <is>
          <t>BOOK</t>
        </is>
      </c>
      <c r="BC536" t="inlineStr">
        <is>
          <t>32285001671220</t>
        </is>
      </c>
      <c r="BD536" t="inlineStr">
        <is>
          <t>893806544</t>
        </is>
      </c>
    </row>
    <row r="537">
      <c r="A537" t="inlineStr">
        <is>
          <t>No</t>
        </is>
      </c>
      <c r="B537" t="inlineStr">
        <is>
          <t>PJ6645.F6 D6 1981</t>
        </is>
      </c>
      <c r="C537" t="inlineStr">
        <is>
          <t>0                      PJ 6645000F  6                  D  6           1981</t>
        </is>
      </c>
      <c r="D537" t="inlineStr">
        <is>
          <t>Supplément aux dictionnaires arabes / par R. Dozy.</t>
        </is>
      </c>
      <c r="E537" t="inlineStr">
        <is>
          <t>V.1</t>
        </is>
      </c>
      <c r="F537" t="inlineStr">
        <is>
          <t>Yes</t>
        </is>
      </c>
      <c r="G537" t="inlineStr">
        <is>
          <t>1</t>
        </is>
      </c>
      <c r="H537" t="inlineStr">
        <is>
          <t>No</t>
        </is>
      </c>
      <c r="I537" t="inlineStr">
        <is>
          <t>No</t>
        </is>
      </c>
      <c r="J537" t="inlineStr">
        <is>
          <t>0</t>
        </is>
      </c>
      <c r="K537" t="inlineStr">
        <is>
          <t>Dozy, Reinhart Pieter Anne, 1820-1883.</t>
        </is>
      </c>
      <c r="L537" t="inlineStr">
        <is>
          <t>Beyrouth : Librairie Liban, 1981.</t>
        </is>
      </c>
      <c r="M537" t="inlineStr">
        <is>
          <t>1981</t>
        </is>
      </c>
      <c r="O537" t="inlineStr">
        <is>
          <t>fre</t>
        </is>
      </c>
      <c r="P537" t="inlineStr">
        <is>
          <t xml:space="preserve">le </t>
        </is>
      </c>
      <c r="R537" t="inlineStr">
        <is>
          <t xml:space="preserve">PJ </t>
        </is>
      </c>
      <c r="S537" t="n">
        <v>4</v>
      </c>
      <c r="T537" t="n">
        <v>8</v>
      </c>
      <c r="U537" t="inlineStr">
        <is>
          <t>1996-09-30</t>
        </is>
      </c>
      <c r="V537" t="inlineStr">
        <is>
          <t>1996-09-30</t>
        </is>
      </c>
      <c r="W537" t="inlineStr">
        <is>
          <t>1992-05-29</t>
        </is>
      </c>
      <c r="X537" t="inlineStr">
        <is>
          <t>1992-05-29</t>
        </is>
      </c>
      <c r="Y537" t="n">
        <v>15</v>
      </c>
      <c r="Z537" t="n">
        <v>12</v>
      </c>
      <c r="AA537" t="n">
        <v>139</v>
      </c>
      <c r="AB537" t="n">
        <v>1</v>
      </c>
      <c r="AC537" t="n">
        <v>2</v>
      </c>
      <c r="AD537" t="n">
        <v>1</v>
      </c>
      <c r="AE537" t="n">
        <v>3</v>
      </c>
      <c r="AF537" t="n">
        <v>0</v>
      </c>
      <c r="AG537" t="n">
        <v>0</v>
      </c>
      <c r="AH537" t="n">
        <v>1</v>
      </c>
      <c r="AI537" t="n">
        <v>2</v>
      </c>
      <c r="AJ537" t="n">
        <v>1</v>
      </c>
      <c r="AK537" t="n">
        <v>2</v>
      </c>
      <c r="AL537" t="n">
        <v>0</v>
      </c>
      <c r="AM537" t="n">
        <v>1</v>
      </c>
      <c r="AN537" t="n">
        <v>0</v>
      </c>
      <c r="AO537" t="n">
        <v>0</v>
      </c>
      <c r="AP537" t="inlineStr">
        <is>
          <t>No</t>
        </is>
      </c>
      <c r="AQ537" t="inlineStr">
        <is>
          <t>Yes</t>
        </is>
      </c>
      <c r="AR537">
        <f>HYPERLINK("http://catalog.hathitrust.org/Record/010389221","HathiTrust Record")</f>
        <v/>
      </c>
      <c r="AS537">
        <f>HYPERLINK("https://creighton-primo.hosted.exlibrisgroup.com/primo-explore/search?tab=default_tab&amp;search_scope=EVERYTHING&amp;vid=01CRU&amp;lang=en_US&amp;offset=0&amp;query=any,contains,991005218919702656","Catalog Record")</f>
        <v/>
      </c>
      <c r="AT537">
        <f>HYPERLINK("http://www.worldcat.org/oclc/8216745","WorldCat Record")</f>
        <v/>
      </c>
      <c r="AU537" t="inlineStr">
        <is>
          <t>1588138:fre</t>
        </is>
      </c>
      <c r="AV537" t="inlineStr">
        <is>
          <t>8216745</t>
        </is>
      </c>
      <c r="AW537" t="inlineStr">
        <is>
          <t>991005218919702656</t>
        </is>
      </c>
      <c r="AX537" t="inlineStr">
        <is>
          <t>991005218919702656</t>
        </is>
      </c>
      <c r="AY537" t="inlineStr">
        <is>
          <t>2270097720002656</t>
        </is>
      </c>
      <c r="AZ537" t="inlineStr">
        <is>
          <t>BOOK</t>
        </is>
      </c>
      <c r="BC537" t="inlineStr">
        <is>
          <t>32285001114270</t>
        </is>
      </c>
      <c r="BD537" t="inlineStr">
        <is>
          <t>893263686</t>
        </is>
      </c>
    </row>
    <row r="538">
      <c r="A538" t="inlineStr">
        <is>
          <t>No</t>
        </is>
      </c>
      <c r="B538" t="inlineStr">
        <is>
          <t>PJ6645.F6 D6 1981</t>
        </is>
      </c>
      <c r="C538" t="inlineStr">
        <is>
          <t>0                      PJ 6645000F  6                  D  6           1981</t>
        </is>
      </c>
      <c r="D538" t="inlineStr">
        <is>
          <t>Supplément aux dictionnaires arabes / par R. Dozy.</t>
        </is>
      </c>
      <c r="E538" t="inlineStr">
        <is>
          <t>V.2</t>
        </is>
      </c>
      <c r="F538" t="inlineStr">
        <is>
          <t>Yes</t>
        </is>
      </c>
      <c r="G538" t="inlineStr">
        <is>
          <t>1</t>
        </is>
      </c>
      <c r="H538" t="inlineStr">
        <is>
          <t>No</t>
        </is>
      </c>
      <c r="I538" t="inlineStr">
        <is>
          <t>No</t>
        </is>
      </c>
      <c r="J538" t="inlineStr">
        <is>
          <t>0</t>
        </is>
      </c>
      <c r="K538" t="inlineStr">
        <is>
          <t>Dozy, Reinhart Pieter Anne, 1820-1883.</t>
        </is>
      </c>
      <c r="L538" t="inlineStr">
        <is>
          <t>Beyrouth : Librairie Liban, 1981.</t>
        </is>
      </c>
      <c r="M538" t="inlineStr">
        <is>
          <t>1981</t>
        </is>
      </c>
      <c r="O538" t="inlineStr">
        <is>
          <t>fre</t>
        </is>
      </c>
      <c r="P538" t="inlineStr">
        <is>
          <t xml:space="preserve">le </t>
        </is>
      </c>
      <c r="R538" t="inlineStr">
        <is>
          <t xml:space="preserve">PJ </t>
        </is>
      </c>
      <c r="S538" t="n">
        <v>4</v>
      </c>
      <c r="T538" t="n">
        <v>8</v>
      </c>
      <c r="U538" t="inlineStr">
        <is>
          <t>1996-09-30</t>
        </is>
      </c>
      <c r="V538" t="inlineStr">
        <is>
          <t>1996-09-30</t>
        </is>
      </c>
      <c r="W538" t="inlineStr">
        <is>
          <t>1992-05-29</t>
        </is>
      </c>
      <c r="X538" t="inlineStr">
        <is>
          <t>1992-05-29</t>
        </is>
      </c>
      <c r="Y538" t="n">
        <v>15</v>
      </c>
      <c r="Z538" t="n">
        <v>12</v>
      </c>
      <c r="AA538" t="n">
        <v>139</v>
      </c>
      <c r="AB538" t="n">
        <v>1</v>
      </c>
      <c r="AC538" t="n">
        <v>2</v>
      </c>
      <c r="AD538" t="n">
        <v>1</v>
      </c>
      <c r="AE538" t="n">
        <v>3</v>
      </c>
      <c r="AF538" t="n">
        <v>0</v>
      </c>
      <c r="AG538" t="n">
        <v>0</v>
      </c>
      <c r="AH538" t="n">
        <v>1</v>
      </c>
      <c r="AI538" t="n">
        <v>2</v>
      </c>
      <c r="AJ538" t="n">
        <v>1</v>
      </c>
      <c r="AK538" t="n">
        <v>2</v>
      </c>
      <c r="AL538" t="n">
        <v>0</v>
      </c>
      <c r="AM538" t="n">
        <v>1</v>
      </c>
      <c r="AN538" t="n">
        <v>0</v>
      </c>
      <c r="AO538" t="n">
        <v>0</v>
      </c>
      <c r="AP538" t="inlineStr">
        <is>
          <t>No</t>
        </is>
      </c>
      <c r="AQ538" t="inlineStr">
        <is>
          <t>Yes</t>
        </is>
      </c>
      <c r="AR538">
        <f>HYPERLINK("http://catalog.hathitrust.org/Record/010389221","HathiTrust Record")</f>
        <v/>
      </c>
      <c r="AS538">
        <f>HYPERLINK("https://creighton-primo.hosted.exlibrisgroup.com/primo-explore/search?tab=default_tab&amp;search_scope=EVERYTHING&amp;vid=01CRU&amp;lang=en_US&amp;offset=0&amp;query=any,contains,991005218919702656","Catalog Record")</f>
        <v/>
      </c>
      <c r="AT538">
        <f>HYPERLINK("http://www.worldcat.org/oclc/8216745","WorldCat Record")</f>
        <v/>
      </c>
      <c r="AU538" t="inlineStr">
        <is>
          <t>1588138:fre</t>
        </is>
      </c>
      <c r="AV538" t="inlineStr">
        <is>
          <t>8216745</t>
        </is>
      </c>
      <c r="AW538" t="inlineStr">
        <is>
          <t>991005218919702656</t>
        </is>
      </c>
      <c r="AX538" t="inlineStr">
        <is>
          <t>991005218919702656</t>
        </is>
      </c>
      <c r="AY538" t="inlineStr">
        <is>
          <t>2270097720002656</t>
        </is>
      </c>
      <c r="AZ538" t="inlineStr">
        <is>
          <t>BOOK</t>
        </is>
      </c>
      <c r="BC538" t="inlineStr">
        <is>
          <t>32285001114288</t>
        </is>
      </c>
      <c r="BD538" t="inlineStr">
        <is>
          <t>893236501</t>
        </is>
      </c>
    </row>
    <row r="539">
      <c r="A539" t="inlineStr">
        <is>
          <t>No</t>
        </is>
      </c>
      <c r="B539" t="inlineStr">
        <is>
          <t>PJ6713 .R93 1990</t>
        </is>
      </c>
      <c r="C539" t="inlineStr">
        <is>
          <t>0                      PJ 6713000R  93          1990</t>
        </is>
      </c>
      <c r="D539" t="inlineStr">
        <is>
          <t>Formal spoken Arabic : basic course / Karin C. Ryding ; Naim Owais, Abdelnour Zaiback, assistant editors.</t>
        </is>
      </c>
      <c r="F539" t="inlineStr">
        <is>
          <t>No</t>
        </is>
      </c>
      <c r="G539" t="inlineStr">
        <is>
          <t>1</t>
        </is>
      </c>
      <c r="H539" t="inlineStr">
        <is>
          <t>No</t>
        </is>
      </c>
      <c r="I539" t="inlineStr">
        <is>
          <t>No</t>
        </is>
      </c>
      <c r="J539" t="inlineStr">
        <is>
          <t>0</t>
        </is>
      </c>
      <c r="K539" t="inlineStr">
        <is>
          <t>Ryding, Karin C.</t>
        </is>
      </c>
      <c r="L539" t="inlineStr">
        <is>
          <t>Washington, D.C. : Georgetown University Press, c1990.</t>
        </is>
      </c>
      <c r="M539" t="inlineStr">
        <is>
          <t>1990</t>
        </is>
      </c>
      <c r="O539" t="inlineStr">
        <is>
          <t>eng</t>
        </is>
      </c>
      <c r="P539" t="inlineStr">
        <is>
          <t>dcu</t>
        </is>
      </c>
      <c r="R539" t="inlineStr">
        <is>
          <t xml:space="preserve">PJ </t>
        </is>
      </c>
      <c r="S539" t="n">
        <v>18</v>
      </c>
      <c r="T539" t="n">
        <v>18</v>
      </c>
      <c r="U539" t="inlineStr">
        <is>
          <t>2008-12-19</t>
        </is>
      </c>
      <c r="V539" t="inlineStr">
        <is>
          <t>2008-12-19</t>
        </is>
      </c>
      <c r="W539" t="inlineStr">
        <is>
          <t>1991-02-22</t>
        </is>
      </c>
      <c r="X539" t="inlineStr">
        <is>
          <t>1991-02-22</t>
        </is>
      </c>
      <c r="Y539" t="n">
        <v>132</v>
      </c>
      <c r="Z539" t="n">
        <v>103</v>
      </c>
      <c r="AA539" t="n">
        <v>178</v>
      </c>
      <c r="AB539" t="n">
        <v>1</v>
      </c>
      <c r="AC539" t="n">
        <v>1</v>
      </c>
      <c r="AD539" t="n">
        <v>2</v>
      </c>
      <c r="AE539" t="n">
        <v>6</v>
      </c>
      <c r="AF539" t="n">
        <v>0</v>
      </c>
      <c r="AG539" t="n">
        <v>0</v>
      </c>
      <c r="AH539" t="n">
        <v>1</v>
      </c>
      <c r="AI539" t="n">
        <v>3</v>
      </c>
      <c r="AJ539" t="n">
        <v>2</v>
      </c>
      <c r="AK539" t="n">
        <v>4</v>
      </c>
      <c r="AL539" t="n">
        <v>0</v>
      </c>
      <c r="AM539" t="n">
        <v>0</v>
      </c>
      <c r="AN539" t="n">
        <v>0</v>
      </c>
      <c r="AO539" t="n">
        <v>0</v>
      </c>
      <c r="AP539" t="inlineStr">
        <is>
          <t>No</t>
        </is>
      </c>
      <c r="AQ539" t="inlineStr">
        <is>
          <t>Yes</t>
        </is>
      </c>
      <c r="AR539">
        <f>HYPERLINK("http://catalog.hathitrust.org/Record/002233293","HathiTrust Record")</f>
        <v/>
      </c>
      <c r="AS539">
        <f>HYPERLINK("https://creighton-primo.hosted.exlibrisgroup.com/primo-explore/search?tab=default_tab&amp;search_scope=EVERYTHING&amp;vid=01CRU&amp;lang=en_US&amp;offset=0&amp;query=any,contains,991005411879702656","Catalog Record")</f>
        <v/>
      </c>
      <c r="AT539">
        <f>HYPERLINK("http://www.worldcat.org/oclc/21035968","WorldCat Record")</f>
        <v/>
      </c>
      <c r="AU539" t="inlineStr">
        <is>
          <t>22615501:eng</t>
        </is>
      </c>
      <c r="AV539" t="inlineStr">
        <is>
          <t>21035968</t>
        </is>
      </c>
      <c r="AW539" t="inlineStr">
        <is>
          <t>991005411879702656</t>
        </is>
      </c>
      <c r="AX539" t="inlineStr">
        <is>
          <t>991005411879702656</t>
        </is>
      </c>
      <c r="AY539" t="inlineStr">
        <is>
          <t>2255521870002656</t>
        </is>
      </c>
      <c r="AZ539" t="inlineStr">
        <is>
          <t>BOOK</t>
        </is>
      </c>
      <c r="BB539" t="inlineStr">
        <is>
          <t>9780878402793</t>
        </is>
      </c>
      <c r="BC539" t="inlineStr">
        <is>
          <t>32285000491117</t>
        </is>
      </c>
      <c r="BD539" t="inlineStr">
        <is>
          <t>893883846</t>
        </is>
      </c>
    </row>
    <row r="540">
      <c r="A540" t="inlineStr">
        <is>
          <t>No</t>
        </is>
      </c>
      <c r="B540" t="inlineStr">
        <is>
          <t>PJ7510 .I213</t>
        </is>
      </c>
      <c r="C540" t="inlineStr">
        <is>
          <t>0                      PJ 7510000I  213</t>
        </is>
      </c>
      <c r="D540" t="inlineStr">
        <is>
          <t>The Fihrist of al-Nadīm; a tenth-century survey of Muslim culture. Bayard Dodge, editor and translator.</t>
        </is>
      </c>
      <c r="F540" t="inlineStr">
        <is>
          <t>Yes</t>
        </is>
      </c>
      <c r="G540" t="inlineStr">
        <is>
          <t>1</t>
        </is>
      </c>
      <c r="H540" t="inlineStr">
        <is>
          <t>Yes</t>
        </is>
      </c>
      <c r="I540" t="inlineStr">
        <is>
          <t>No</t>
        </is>
      </c>
      <c r="J540" t="inlineStr">
        <is>
          <t>0</t>
        </is>
      </c>
      <c r="K540" t="inlineStr">
        <is>
          <t>Ibn al-Nadīm, Muḥammad ibn Isḥāq, active 987.</t>
        </is>
      </c>
      <c r="L540" t="inlineStr">
        <is>
          <t>New York, Columbia University Press, 1970.</t>
        </is>
      </c>
      <c r="M540" t="inlineStr">
        <is>
          <t>1970</t>
        </is>
      </c>
      <c r="O540" t="inlineStr">
        <is>
          <t>eng</t>
        </is>
      </c>
      <c r="P540" t="inlineStr">
        <is>
          <t>nyu</t>
        </is>
      </c>
      <c r="Q540" t="inlineStr">
        <is>
          <t>Records of civilization, sources and studies ; no. 83</t>
        </is>
      </c>
      <c r="R540" t="inlineStr">
        <is>
          <t xml:space="preserve">PJ </t>
        </is>
      </c>
      <c r="S540" t="n">
        <v>1</v>
      </c>
      <c r="T540" t="n">
        <v>2</v>
      </c>
      <c r="U540" t="inlineStr">
        <is>
          <t>2001-01-05</t>
        </is>
      </c>
      <c r="V540" t="inlineStr">
        <is>
          <t>2001-01-05</t>
        </is>
      </c>
      <c r="W540" t="inlineStr">
        <is>
          <t>1997-09-16</t>
        </is>
      </c>
      <c r="X540" t="inlineStr">
        <is>
          <t>1997-09-16</t>
        </is>
      </c>
      <c r="Y540" t="n">
        <v>527</v>
      </c>
      <c r="Z540" t="n">
        <v>438</v>
      </c>
      <c r="AA540" t="n">
        <v>602</v>
      </c>
      <c r="AB540" t="n">
        <v>4</v>
      </c>
      <c r="AC540" t="n">
        <v>5</v>
      </c>
      <c r="AD540" t="n">
        <v>28</v>
      </c>
      <c r="AE540" t="n">
        <v>36</v>
      </c>
      <c r="AF540" t="n">
        <v>7</v>
      </c>
      <c r="AG540" t="n">
        <v>12</v>
      </c>
      <c r="AH540" t="n">
        <v>10</v>
      </c>
      <c r="AI540" t="n">
        <v>11</v>
      </c>
      <c r="AJ540" t="n">
        <v>14</v>
      </c>
      <c r="AK540" t="n">
        <v>17</v>
      </c>
      <c r="AL540" t="n">
        <v>3</v>
      </c>
      <c r="AM540" t="n">
        <v>4</v>
      </c>
      <c r="AN540" t="n">
        <v>0</v>
      </c>
      <c r="AO540" t="n">
        <v>0</v>
      </c>
      <c r="AP540" t="inlineStr">
        <is>
          <t>No</t>
        </is>
      </c>
      <c r="AQ540" t="inlineStr">
        <is>
          <t>No</t>
        </is>
      </c>
      <c r="AS540">
        <f>HYPERLINK("https://creighton-primo.hosted.exlibrisgroup.com/primo-explore/search?tab=default_tab&amp;search_scope=EVERYTHING&amp;vid=01CRU&amp;lang=en_US&amp;offset=0&amp;query=any,contains,991000621439702656","Catalog Record")</f>
        <v/>
      </c>
      <c r="AT540">
        <f>HYPERLINK("http://www.worldcat.org/oclc/102390","WorldCat Record")</f>
        <v/>
      </c>
      <c r="AU540" t="inlineStr">
        <is>
          <t>10792564129:eng</t>
        </is>
      </c>
      <c r="AV540" t="inlineStr">
        <is>
          <t>102390</t>
        </is>
      </c>
      <c r="AW540" t="inlineStr">
        <is>
          <t>991000621439702656</t>
        </is>
      </c>
      <c r="AX540" t="inlineStr">
        <is>
          <t>991000621439702656</t>
        </is>
      </c>
      <c r="AY540" t="inlineStr">
        <is>
          <t>2259765880002656</t>
        </is>
      </c>
      <c r="AZ540" t="inlineStr">
        <is>
          <t>BOOK</t>
        </is>
      </c>
      <c r="BB540" t="inlineStr">
        <is>
          <t>9780231029254</t>
        </is>
      </c>
      <c r="BC540" t="inlineStr">
        <is>
          <t>32285003223244</t>
        </is>
      </c>
      <c r="BD540" t="inlineStr">
        <is>
          <t>893255575</t>
        </is>
      </c>
    </row>
    <row r="541">
      <c r="A541" t="inlineStr">
        <is>
          <t>No</t>
        </is>
      </c>
      <c r="B541" t="inlineStr">
        <is>
          <t>PJ7510 .I213 V.2</t>
        </is>
      </c>
      <c r="C541" t="inlineStr">
        <is>
          <t>0                      PJ 7510000I  213                                                     V.2</t>
        </is>
      </c>
      <c r="D541" t="inlineStr">
        <is>
          <t>The Fihrist of al-Nadīm; a tenth-century survey of Muslim culture. Bayard Dodge, editor and translator.</t>
        </is>
      </c>
      <c r="E541" t="inlineStr">
        <is>
          <t>V.2*</t>
        </is>
      </c>
      <c r="F541" t="inlineStr">
        <is>
          <t>Yes</t>
        </is>
      </c>
      <c r="G541" t="inlineStr">
        <is>
          <t>1</t>
        </is>
      </c>
      <c r="H541" t="inlineStr">
        <is>
          <t>No</t>
        </is>
      </c>
      <c r="I541" t="inlineStr">
        <is>
          <t>No</t>
        </is>
      </c>
      <c r="J541" t="inlineStr">
        <is>
          <t>0</t>
        </is>
      </c>
      <c r="K541" t="inlineStr">
        <is>
          <t>Ibn al-Nadīm, Muḥammad ibn Isḥāq, active 987.</t>
        </is>
      </c>
      <c r="L541" t="inlineStr">
        <is>
          <t>New York, Columbia University Press, 1970.</t>
        </is>
      </c>
      <c r="M541" t="inlineStr">
        <is>
          <t>1970</t>
        </is>
      </c>
      <c r="O541" t="inlineStr">
        <is>
          <t>eng</t>
        </is>
      </c>
      <c r="P541" t="inlineStr">
        <is>
          <t>nyu</t>
        </is>
      </c>
      <c r="Q541" t="inlineStr">
        <is>
          <t>Records of civilization, sources and studies ; no. 83</t>
        </is>
      </c>
      <c r="R541" t="inlineStr">
        <is>
          <t xml:space="preserve">PJ </t>
        </is>
      </c>
      <c r="S541" t="n">
        <v>1</v>
      </c>
      <c r="T541" t="n">
        <v>2</v>
      </c>
      <c r="U541" t="inlineStr">
        <is>
          <t>2001-01-05</t>
        </is>
      </c>
      <c r="V541" t="inlineStr">
        <is>
          <t>2001-01-05</t>
        </is>
      </c>
      <c r="W541" t="inlineStr">
        <is>
          <t>1997-09-16</t>
        </is>
      </c>
      <c r="X541" t="inlineStr">
        <is>
          <t>1997-09-16</t>
        </is>
      </c>
      <c r="Y541" t="n">
        <v>527</v>
      </c>
      <c r="Z541" t="n">
        <v>438</v>
      </c>
      <c r="AA541" t="n">
        <v>602</v>
      </c>
      <c r="AB541" t="n">
        <v>4</v>
      </c>
      <c r="AC541" t="n">
        <v>5</v>
      </c>
      <c r="AD541" t="n">
        <v>28</v>
      </c>
      <c r="AE541" t="n">
        <v>36</v>
      </c>
      <c r="AF541" t="n">
        <v>7</v>
      </c>
      <c r="AG541" t="n">
        <v>12</v>
      </c>
      <c r="AH541" t="n">
        <v>10</v>
      </c>
      <c r="AI541" t="n">
        <v>11</v>
      </c>
      <c r="AJ541" t="n">
        <v>14</v>
      </c>
      <c r="AK541" t="n">
        <v>17</v>
      </c>
      <c r="AL541" t="n">
        <v>3</v>
      </c>
      <c r="AM541" t="n">
        <v>4</v>
      </c>
      <c r="AN541" t="n">
        <v>0</v>
      </c>
      <c r="AO541" t="n">
        <v>0</v>
      </c>
      <c r="AP541" t="inlineStr">
        <is>
          <t>No</t>
        </is>
      </c>
      <c r="AQ541" t="inlineStr">
        <is>
          <t>No</t>
        </is>
      </c>
      <c r="AS541">
        <f>HYPERLINK("https://creighton-primo.hosted.exlibrisgroup.com/primo-explore/search?tab=default_tab&amp;search_scope=EVERYTHING&amp;vid=01CRU&amp;lang=en_US&amp;offset=0&amp;query=any,contains,991000621439702656","Catalog Record")</f>
        <v/>
      </c>
      <c r="AT541">
        <f>HYPERLINK("http://www.worldcat.org/oclc/102390","WorldCat Record")</f>
        <v/>
      </c>
      <c r="AU541" t="inlineStr">
        <is>
          <t>10792564129:eng</t>
        </is>
      </c>
      <c r="AV541" t="inlineStr">
        <is>
          <t>102390</t>
        </is>
      </c>
      <c r="AW541" t="inlineStr">
        <is>
          <t>991000621439702656</t>
        </is>
      </c>
      <c r="AX541" t="inlineStr">
        <is>
          <t>991000621439702656</t>
        </is>
      </c>
      <c r="AY541" t="inlineStr">
        <is>
          <t>2259765880002656</t>
        </is>
      </c>
      <c r="AZ541" t="inlineStr">
        <is>
          <t>BOOK</t>
        </is>
      </c>
      <c r="BB541" t="inlineStr">
        <is>
          <t>9780231029254</t>
        </is>
      </c>
      <c r="BC541" t="inlineStr">
        <is>
          <t>32285003223236</t>
        </is>
      </c>
      <c r="BD541" t="inlineStr">
        <is>
          <t>893231264</t>
        </is>
      </c>
    </row>
    <row r="542">
      <c r="A542" t="inlineStr">
        <is>
          <t>No</t>
        </is>
      </c>
      <c r="B542" t="inlineStr">
        <is>
          <t>PJ7542.M8 S5 1988</t>
        </is>
      </c>
      <c r="C542" t="inlineStr">
        <is>
          <t>0                      PJ 7542000M  8                  S  5           1988</t>
        </is>
      </c>
      <c r="D542" t="inlineStr">
        <is>
          <t>Poesía estrófica : cejeles y/o muwaššahat, siglo XIII d. C. / atribuida al místico granadino Aš-Šuštarī ; preedición, traducción, estudio e índices, F. Corriente.</t>
        </is>
      </c>
      <c r="F542" t="inlineStr">
        <is>
          <t>No</t>
        </is>
      </c>
      <c r="G542" t="inlineStr">
        <is>
          <t>1</t>
        </is>
      </c>
      <c r="H542" t="inlineStr">
        <is>
          <t>No</t>
        </is>
      </c>
      <c r="I542" t="inlineStr">
        <is>
          <t>No</t>
        </is>
      </c>
      <c r="J542" t="inlineStr">
        <is>
          <t>0</t>
        </is>
      </c>
      <c r="K542" t="inlineStr">
        <is>
          <t>Shushtarī, ʻAlī ibn ʻAbd Allāh, 1213 or 1214-1269.</t>
        </is>
      </c>
      <c r="L542" t="inlineStr">
        <is>
          <t>Madrid : Consejo Superior de Investigaciones Científicas, Instituto de Filología, Departamento de Estudios Arabes, 1988.</t>
        </is>
      </c>
      <c r="M542" t="inlineStr">
        <is>
          <t>1988</t>
        </is>
      </c>
      <c r="O542" t="inlineStr">
        <is>
          <t>spa</t>
        </is>
      </c>
      <c r="P542" t="inlineStr">
        <is>
          <t xml:space="preserve">sp </t>
        </is>
      </c>
      <c r="R542" t="inlineStr">
        <is>
          <t xml:space="preserve">PJ </t>
        </is>
      </c>
      <c r="S542" t="n">
        <v>0</v>
      </c>
      <c r="T542" t="n">
        <v>0</v>
      </c>
      <c r="U542" t="inlineStr">
        <is>
          <t>2010-10-14</t>
        </is>
      </c>
      <c r="V542" t="inlineStr">
        <is>
          <t>2010-10-14</t>
        </is>
      </c>
      <c r="W542" t="inlineStr">
        <is>
          <t>1991-04-29</t>
        </is>
      </c>
      <c r="X542" t="inlineStr">
        <is>
          <t>1991-04-29</t>
        </is>
      </c>
      <c r="Y542" t="n">
        <v>33</v>
      </c>
      <c r="Z542" t="n">
        <v>28</v>
      </c>
      <c r="AA542" t="n">
        <v>29</v>
      </c>
      <c r="AB542" t="n">
        <v>1</v>
      </c>
      <c r="AC542" t="n">
        <v>1</v>
      </c>
      <c r="AD542" t="n">
        <v>1</v>
      </c>
      <c r="AE542" t="n">
        <v>1</v>
      </c>
      <c r="AF542" t="n">
        <v>0</v>
      </c>
      <c r="AG542" t="n">
        <v>0</v>
      </c>
      <c r="AH542" t="n">
        <v>1</v>
      </c>
      <c r="AI542" t="n">
        <v>1</v>
      </c>
      <c r="AJ542" t="n">
        <v>1</v>
      </c>
      <c r="AK542" t="n">
        <v>1</v>
      </c>
      <c r="AL542" t="n">
        <v>0</v>
      </c>
      <c r="AM542" t="n">
        <v>0</v>
      </c>
      <c r="AN542" t="n">
        <v>0</v>
      </c>
      <c r="AO542" t="n">
        <v>0</v>
      </c>
      <c r="AP542" t="inlineStr">
        <is>
          <t>No</t>
        </is>
      </c>
      <c r="AQ542" t="inlineStr">
        <is>
          <t>Yes</t>
        </is>
      </c>
      <c r="AR542">
        <f>HYPERLINK("http://catalog.hathitrust.org/Record/010357083","HathiTrust Record")</f>
        <v/>
      </c>
      <c r="AS542">
        <f>HYPERLINK("https://creighton-primo.hosted.exlibrisgroup.com/primo-explore/search?tab=default_tab&amp;search_scope=EVERYTHING&amp;vid=01CRU&amp;lang=en_US&amp;offset=0&amp;query=any,contains,991001530569702656","Catalog Record")</f>
        <v/>
      </c>
      <c r="AT542">
        <f>HYPERLINK("http://www.worldcat.org/oclc/20025934","WorldCat Record")</f>
        <v/>
      </c>
      <c r="AU542" t="inlineStr">
        <is>
          <t>347774401:spa</t>
        </is>
      </c>
      <c r="AV542" t="inlineStr">
        <is>
          <t>20025934</t>
        </is>
      </c>
      <c r="AW542" t="inlineStr">
        <is>
          <t>991001530569702656</t>
        </is>
      </c>
      <c r="AX542" t="inlineStr">
        <is>
          <t>991001530569702656</t>
        </is>
      </c>
      <c r="AY542" t="inlineStr">
        <is>
          <t>2262327480002656</t>
        </is>
      </c>
      <c r="AZ542" t="inlineStr">
        <is>
          <t>BOOK</t>
        </is>
      </c>
      <c r="BB542" t="inlineStr">
        <is>
          <t>9788400068196</t>
        </is>
      </c>
      <c r="BC542" t="inlineStr">
        <is>
          <t>32285000570225</t>
        </is>
      </c>
      <c r="BD542" t="inlineStr">
        <is>
          <t>893690673</t>
        </is>
      </c>
    </row>
    <row r="543">
      <c r="A543" t="inlineStr">
        <is>
          <t>No</t>
        </is>
      </c>
      <c r="B543" t="inlineStr">
        <is>
          <t>PJ7542.M8 S7 1974</t>
        </is>
      </c>
      <c r="C543" t="inlineStr">
        <is>
          <t>0                      PJ 7542000M  8                  S  7           1974</t>
        </is>
      </c>
      <c r="D543" t="inlineStr">
        <is>
          <t>Hispano-Arabic strophic poetry : studies / by Samuel Miklos Stern ; selected and edited by L. P. Harvey.</t>
        </is>
      </c>
      <c r="F543" t="inlineStr">
        <is>
          <t>No</t>
        </is>
      </c>
      <c r="G543" t="inlineStr">
        <is>
          <t>1</t>
        </is>
      </c>
      <c r="H543" t="inlineStr">
        <is>
          <t>No</t>
        </is>
      </c>
      <c r="I543" t="inlineStr">
        <is>
          <t>No</t>
        </is>
      </c>
      <c r="J543" t="inlineStr">
        <is>
          <t>0</t>
        </is>
      </c>
      <c r="K543" t="inlineStr">
        <is>
          <t>Stern, S. M. (Samuel Miklos), 1920-1969.</t>
        </is>
      </c>
      <c r="L543" t="inlineStr">
        <is>
          <t>Oxford [Eng.] : Clarendon Press, 1974.</t>
        </is>
      </c>
      <c r="M543" t="inlineStr">
        <is>
          <t>1974</t>
        </is>
      </c>
      <c r="O543" t="inlineStr">
        <is>
          <t>eng</t>
        </is>
      </c>
      <c r="P543" t="inlineStr">
        <is>
          <t>enk</t>
        </is>
      </c>
      <c r="R543" t="inlineStr">
        <is>
          <t xml:space="preserve">PJ </t>
        </is>
      </c>
      <c r="S543" t="n">
        <v>1</v>
      </c>
      <c r="T543" t="n">
        <v>1</v>
      </c>
      <c r="U543" t="inlineStr">
        <is>
          <t>2010-01-14</t>
        </is>
      </c>
      <c r="V543" t="inlineStr">
        <is>
          <t>2010-01-14</t>
        </is>
      </c>
      <c r="W543" t="inlineStr">
        <is>
          <t>1994-07-20</t>
        </is>
      </c>
      <c r="X543" t="inlineStr">
        <is>
          <t>1994-07-20</t>
        </is>
      </c>
      <c r="Y543" t="n">
        <v>298</v>
      </c>
      <c r="Z543" t="n">
        <v>185</v>
      </c>
      <c r="AA543" t="n">
        <v>188</v>
      </c>
      <c r="AB543" t="n">
        <v>2</v>
      </c>
      <c r="AC543" t="n">
        <v>2</v>
      </c>
      <c r="AD543" t="n">
        <v>9</v>
      </c>
      <c r="AE543" t="n">
        <v>9</v>
      </c>
      <c r="AF543" t="n">
        <v>0</v>
      </c>
      <c r="AG543" t="n">
        <v>0</v>
      </c>
      <c r="AH543" t="n">
        <v>5</v>
      </c>
      <c r="AI543" t="n">
        <v>5</v>
      </c>
      <c r="AJ543" t="n">
        <v>5</v>
      </c>
      <c r="AK543" t="n">
        <v>5</v>
      </c>
      <c r="AL543" t="n">
        <v>1</v>
      </c>
      <c r="AM543" t="n">
        <v>1</v>
      </c>
      <c r="AN543" t="n">
        <v>0</v>
      </c>
      <c r="AO543" t="n">
        <v>0</v>
      </c>
      <c r="AP543" t="inlineStr">
        <is>
          <t>No</t>
        </is>
      </c>
      <c r="AQ543" t="inlineStr">
        <is>
          <t>Yes</t>
        </is>
      </c>
      <c r="AR543">
        <f>HYPERLINK("http://catalog.hathitrust.org/Record/001229506","HathiTrust Record")</f>
        <v/>
      </c>
      <c r="AS543">
        <f>HYPERLINK("https://creighton-primo.hosted.exlibrisgroup.com/primo-explore/search?tab=default_tab&amp;search_scope=EVERYTHING&amp;vid=01CRU&amp;lang=en_US&amp;offset=0&amp;query=any,contains,991003533169702656","Catalog Record")</f>
        <v/>
      </c>
      <c r="AT543">
        <f>HYPERLINK("http://www.worldcat.org/oclc/1095483","WorldCat Record")</f>
        <v/>
      </c>
      <c r="AU543" t="inlineStr">
        <is>
          <t>878408841:eng</t>
        </is>
      </c>
      <c r="AV543" t="inlineStr">
        <is>
          <t>1095483</t>
        </is>
      </c>
      <c r="AW543" t="inlineStr">
        <is>
          <t>991003533169702656</t>
        </is>
      </c>
      <c r="AX543" t="inlineStr">
        <is>
          <t>991003533169702656</t>
        </is>
      </c>
      <c r="AY543" t="inlineStr">
        <is>
          <t>2267958930002656</t>
        </is>
      </c>
      <c r="AZ543" t="inlineStr">
        <is>
          <t>BOOK</t>
        </is>
      </c>
      <c r="BB543" t="inlineStr">
        <is>
          <t>9780198157359</t>
        </is>
      </c>
      <c r="BC543" t="inlineStr">
        <is>
          <t>32285001936938</t>
        </is>
      </c>
      <c r="BD543" t="inlineStr">
        <is>
          <t>893531272</t>
        </is>
      </c>
    </row>
    <row r="544">
      <c r="A544" t="inlineStr">
        <is>
          <t>No</t>
        </is>
      </c>
      <c r="B544" t="inlineStr">
        <is>
          <t>PJ7575 .M35 2001</t>
        </is>
      </c>
      <c r="C544" t="inlineStr">
        <is>
          <t>0                      PJ 7575000M  35          2001</t>
        </is>
      </c>
      <c r="D544" t="inlineStr">
        <is>
          <t>Power, marginality, and the body in medieval Islam / Fedwa Malti-Douglas.</t>
        </is>
      </c>
      <c r="F544" t="inlineStr">
        <is>
          <t>No</t>
        </is>
      </c>
      <c r="G544" t="inlineStr">
        <is>
          <t>1</t>
        </is>
      </c>
      <c r="H544" t="inlineStr">
        <is>
          <t>No</t>
        </is>
      </c>
      <c r="I544" t="inlineStr">
        <is>
          <t>No</t>
        </is>
      </c>
      <c r="J544" t="inlineStr">
        <is>
          <t>0</t>
        </is>
      </c>
      <c r="K544" t="inlineStr">
        <is>
          <t>Malti-Douglas, Fedwa.</t>
        </is>
      </c>
      <c r="L544" t="inlineStr">
        <is>
          <t>Aldershot, Hants, England ; Burlington, VT : Ashgate, c2001.</t>
        </is>
      </c>
      <c r="M544" t="inlineStr">
        <is>
          <t>2001</t>
        </is>
      </c>
      <c r="O544" t="inlineStr">
        <is>
          <t>eng</t>
        </is>
      </c>
      <c r="P544" t="inlineStr">
        <is>
          <t>enk</t>
        </is>
      </c>
      <c r="Q544" t="inlineStr">
        <is>
          <t>Variorum collected studies series ; CS 723</t>
        </is>
      </c>
      <c r="R544" t="inlineStr">
        <is>
          <t xml:space="preserve">PJ </t>
        </is>
      </c>
      <c r="S544" t="n">
        <v>1</v>
      </c>
      <c r="T544" t="n">
        <v>1</v>
      </c>
      <c r="U544" t="inlineStr">
        <is>
          <t>2003-11-13</t>
        </is>
      </c>
      <c r="V544" t="inlineStr">
        <is>
          <t>2003-11-13</t>
        </is>
      </c>
      <c r="W544" t="inlineStr">
        <is>
          <t>2003-11-13</t>
        </is>
      </c>
      <c r="X544" t="inlineStr">
        <is>
          <t>2003-11-13</t>
        </is>
      </c>
      <c r="Y544" t="n">
        <v>136</v>
      </c>
      <c r="Z544" t="n">
        <v>93</v>
      </c>
      <c r="AA544" t="n">
        <v>94</v>
      </c>
      <c r="AB544" t="n">
        <v>2</v>
      </c>
      <c r="AC544" t="n">
        <v>2</v>
      </c>
      <c r="AD544" t="n">
        <v>5</v>
      </c>
      <c r="AE544" t="n">
        <v>5</v>
      </c>
      <c r="AF544" t="n">
        <v>0</v>
      </c>
      <c r="AG544" t="n">
        <v>0</v>
      </c>
      <c r="AH544" t="n">
        <v>3</v>
      </c>
      <c r="AI544" t="n">
        <v>3</v>
      </c>
      <c r="AJ544" t="n">
        <v>3</v>
      </c>
      <c r="AK544" t="n">
        <v>3</v>
      </c>
      <c r="AL544" t="n">
        <v>1</v>
      </c>
      <c r="AM544" t="n">
        <v>1</v>
      </c>
      <c r="AN544" t="n">
        <v>0</v>
      </c>
      <c r="AO544" t="n">
        <v>0</v>
      </c>
      <c r="AP544" t="inlineStr">
        <is>
          <t>No</t>
        </is>
      </c>
      <c r="AQ544" t="inlineStr">
        <is>
          <t>Yes</t>
        </is>
      </c>
      <c r="AR544">
        <f>HYPERLINK("http://catalog.hathitrust.org/Record/004735013","HathiTrust Record")</f>
        <v/>
      </c>
      <c r="AS544">
        <f>HYPERLINK("https://creighton-primo.hosted.exlibrisgroup.com/primo-explore/search?tab=default_tab&amp;search_scope=EVERYTHING&amp;vid=01CRU&amp;lang=en_US&amp;offset=0&amp;query=any,contains,991004153659702656","Catalog Record")</f>
        <v/>
      </c>
      <c r="AT544">
        <f>HYPERLINK("http://www.worldcat.org/oclc/46683722","WorldCat Record")</f>
        <v/>
      </c>
      <c r="AU544" t="inlineStr">
        <is>
          <t>36085348:eng</t>
        </is>
      </c>
      <c r="AV544" t="inlineStr">
        <is>
          <t>46683722</t>
        </is>
      </c>
      <c r="AW544" t="inlineStr">
        <is>
          <t>991004153659702656</t>
        </is>
      </c>
      <c r="AX544" t="inlineStr">
        <is>
          <t>991004153659702656</t>
        </is>
      </c>
      <c r="AY544" t="inlineStr">
        <is>
          <t>2255354710002656</t>
        </is>
      </c>
      <c r="AZ544" t="inlineStr">
        <is>
          <t>BOOK</t>
        </is>
      </c>
      <c r="BB544" t="inlineStr">
        <is>
          <t>9780860788553</t>
        </is>
      </c>
      <c r="BC544" t="inlineStr">
        <is>
          <t>32285004796057</t>
        </is>
      </c>
      <c r="BD544" t="inlineStr">
        <is>
          <t>893235114</t>
        </is>
      </c>
    </row>
    <row r="545">
      <c r="A545" t="inlineStr">
        <is>
          <t>No</t>
        </is>
      </c>
      <c r="B545" t="inlineStr">
        <is>
          <t>PJ7715 .C6</t>
        </is>
      </c>
      <c r="C545" t="inlineStr">
        <is>
          <t>0                      PJ 7715000C  6</t>
        </is>
      </c>
      <c r="D545" t="inlineStr">
        <is>
          <t>The Arabian nights' entertainments.</t>
        </is>
      </c>
      <c r="F545" t="inlineStr">
        <is>
          <t>No</t>
        </is>
      </c>
      <c r="G545" t="inlineStr">
        <is>
          <t>1</t>
        </is>
      </c>
      <c r="H545" t="inlineStr">
        <is>
          <t>No</t>
        </is>
      </c>
      <c r="I545" t="inlineStr">
        <is>
          <t>No</t>
        </is>
      </c>
      <c r="J545" t="inlineStr">
        <is>
          <t>0</t>
        </is>
      </c>
      <c r="K545" t="inlineStr">
        <is>
          <t>Arabian nights. English.</t>
        </is>
      </c>
      <c r="L545" t="inlineStr">
        <is>
          <t>Chicago : Conkey [19-?]</t>
        </is>
      </c>
      <c r="M545" t="inlineStr">
        <is>
          <t>1900</t>
        </is>
      </c>
      <c r="O545" t="inlineStr">
        <is>
          <t>eng</t>
        </is>
      </c>
      <c r="P545" t="inlineStr">
        <is>
          <t>ilu</t>
        </is>
      </c>
      <c r="R545" t="inlineStr">
        <is>
          <t xml:space="preserve">PJ </t>
        </is>
      </c>
      <c r="S545" t="n">
        <v>4</v>
      </c>
      <c r="T545" t="n">
        <v>4</v>
      </c>
      <c r="U545" t="inlineStr">
        <is>
          <t>1998-04-22</t>
        </is>
      </c>
      <c r="V545" t="inlineStr">
        <is>
          <t>1998-04-22</t>
        </is>
      </c>
      <c r="W545" t="inlineStr">
        <is>
          <t>1993-05-04</t>
        </is>
      </c>
      <c r="X545" t="inlineStr">
        <is>
          <t>1993-05-04</t>
        </is>
      </c>
      <c r="Y545" t="n">
        <v>1</v>
      </c>
      <c r="Z545" t="n">
        <v>1</v>
      </c>
      <c r="AA545" t="n">
        <v>1</v>
      </c>
      <c r="AB545" t="n">
        <v>1</v>
      </c>
      <c r="AC545" t="n">
        <v>1</v>
      </c>
      <c r="AD545" t="n">
        <v>0</v>
      </c>
      <c r="AE545" t="n">
        <v>0</v>
      </c>
      <c r="AF545" t="n">
        <v>0</v>
      </c>
      <c r="AG545" t="n">
        <v>0</v>
      </c>
      <c r="AH545" t="n">
        <v>0</v>
      </c>
      <c r="AI545" t="n">
        <v>0</v>
      </c>
      <c r="AJ545" t="n">
        <v>0</v>
      </c>
      <c r="AK545" t="n">
        <v>0</v>
      </c>
      <c r="AL545" t="n">
        <v>0</v>
      </c>
      <c r="AM545" t="n">
        <v>0</v>
      </c>
      <c r="AN545" t="n">
        <v>0</v>
      </c>
      <c r="AO545" t="n">
        <v>0</v>
      </c>
      <c r="AP545" t="inlineStr">
        <is>
          <t>No</t>
        </is>
      </c>
      <c r="AQ545" t="inlineStr">
        <is>
          <t>No</t>
        </is>
      </c>
      <c r="AS545">
        <f>HYPERLINK("https://creighton-primo.hosted.exlibrisgroup.com/primo-explore/search?tab=default_tab&amp;search_scope=EVERYTHING&amp;vid=01CRU&amp;lang=en_US&amp;offset=0&amp;query=any,contains,991004833179702656","Catalog Record")</f>
        <v/>
      </c>
      <c r="AT545">
        <f>HYPERLINK("http://www.worldcat.org/oclc/5420350","WorldCat Record")</f>
        <v/>
      </c>
      <c r="AU545" t="inlineStr">
        <is>
          <t>5615483375:eng</t>
        </is>
      </c>
      <c r="AV545" t="inlineStr">
        <is>
          <t>5420350</t>
        </is>
      </c>
      <c r="AW545" t="inlineStr">
        <is>
          <t>991004833179702656</t>
        </is>
      </c>
      <c r="AX545" t="inlineStr">
        <is>
          <t>991004833179702656</t>
        </is>
      </c>
      <c r="AY545" t="inlineStr">
        <is>
          <t>2261240080002656</t>
        </is>
      </c>
      <c r="AZ545" t="inlineStr">
        <is>
          <t>BOOK</t>
        </is>
      </c>
      <c r="BC545" t="inlineStr">
        <is>
          <t>32285001671279</t>
        </is>
      </c>
      <c r="BD545" t="inlineStr">
        <is>
          <t>893520090</t>
        </is>
      </c>
    </row>
    <row r="546">
      <c r="A546" t="inlineStr">
        <is>
          <t>No</t>
        </is>
      </c>
      <c r="B546" t="inlineStr">
        <is>
          <t>PJ7741.B3 A28 1976</t>
        </is>
      </c>
      <c r="C546" t="inlineStr">
        <is>
          <t>0                      PJ 7741000B  3                  A  28          1976</t>
        </is>
      </c>
      <c r="D546" t="inlineStr">
        <is>
          <t>Diwan Bashsha̲r ibn Burd Maula Banu ʻUqail ibn Kaʼb ibn Saʼsaʼ / translated and commented on by Arthur Wormhoudt.</t>
        </is>
      </c>
      <c r="F546" t="inlineStr">
        <is>
          <t>No</t>
        </is>
      </c>
      <c r="G546" t="inlineStr">
        <is>
          <t>1</t>
        </is>
      </c>
      <c r="H546" t="inlineStr">
        <is>
          <t>No</t>
        </is>
      </c>
      <c r="I546" t="inlineStr">
        <is>
          <t>No</t>
        </is>
      </c>
      <c r="J546" t="inlineStr">
        <is>
          <t>0</t>
        </is>
      </c>
      <c r="K546" t="inlineStr">
        <is>
          <t>Bashshār ibn Burd, -783 or 784.</t>
        </is>
      </c>
      <c r="L546" t="inlineStr">
        <is>
          <t>[Oskaloosa, Iowa] : William Penn College, 1976.</t>
        </is>
      </c>
      <c r="M546" t="inlineStr">
        <is>
          <t>1976</t>
        </is>
      </c>
      <c r="O546" t="inlineStr">
        <is>
          <t>eng</t>
        </is>
      </c>
      <c r="P546" t="inlineStr">
        <is>
          <t>iau</t>
        </is>
      </c>
      <c r="Q546" t="inlineStr">
        <is>
          <t>An Arab translation series</t>
        </is>
      </c>
      <c r="R546" t="inlineStr">
        <is>
          <t xml:space="preserve">PJ </t>
        </is>
      </c>
      <c r="S546" t="n">
        <v>4</v>
      </c>
      <c r="T546" t="n">
        <v>4</v>
      </c>
      <c r="U546" t="inlineStr">
        <is>
          <t>1994-05-27</t>
        </is>
      </c>
      <c r="V546" t="inlineStr">
        <is>
          <t>1994-05-27</t>
        </is>
      </c>
      <c r="W546" t="inlineStr">
        <is>
          <t>1993-05-04</t>
        </is>
      </c>
      <c r="X546" t="inlineStr">
        <is>
          <t>1993-05-04</t>
        </is>
      </c>
      <c r="Y546" t="n">
        <v>43</v>
      </c>
      <c r="Z546" t="n">
        <v>36</v>
      </c>
      <c r="AA546" t="n">
        <v>37</v>
      </c>
      <c r="AB546" t="n">
        <v>1</v>
      </c>
      <c r="AC546" t="n">
        <v>1</v>
      </c>
      <c r="AD546" t="n">
        <v>2</v>
      </c>
      <c r="AE546" t="n">
        <v>2</v>
      </c>
      <c r="AF546" t="n">
        <v>0</v>
      </c>
      <c r="AG546" t="n">
        <v>0</v>
      </c>
      <c r="AH546" t="n">
        <v>1</v>
      </c>
      <c r="AI546" t="n">
        <v>1</v>
      </c>
      <c r="AJ546" t="n">
        <v>1</v>
      </c>
      <c r="AK546" t="n">
        <v>1</v>
      </c>
      <c r="AL546" t="n">
        <v>0</v>
      </c>
      <c r="AM546" t="n">
        <v>0</v>
      </c>
      <c r="AN546" t="n">
        <v>0</v>
      </c>
      <c r="AO546" t="n">
        <v>0</v>
      </c>
      <c r="AP546" t="inlineStr">
        <is>
          <t>No</t>
        </is>
      </c>
      <c r="AQ546" t="inlineStr">
        <is>
          <t>Yes</t>
        </is>
      </c>
      <c r="AR546">
        <f>HYPERLINK("http://catalog.hathitrust.org/Record/101889492","HathiTrust Record")</f>
        <v/>
      </c>
      <c r="AS546">
        <f>HYPERLINK("https://creighton-primo.hosted.exlibrisgroup.com/primo-explore/search?tab=default_tab&amp;search_scope=EVERYTHING&amp;vid=01CRU&amp;lang=en_US&amp;offset=0&amp;query=any,contains,991005090849702656","Catalog Record")</f>
        <v/>
      </c>
      <c r="AT546">
        <f>HYPERLINK("http://www.worldcat.org/oclc/2932217","WorldCat Record")</f>
        <v/>
      </c>
      <c r="AU546" t="inlineStr">
        <is>
          <t>3855866921:eng</t>
        </is>
      </c>
      <c r="AV546" t="inlineStr">
        <is>
          <t>2932217</t>
        </is>
      </c>
      <c r="AW546" t="inlineStr">
        <is>
          <t>991005090849702656</t>
        </is>
      </c>
      <c r="AX546" t="inlineStr">
        <is>
          <t>991005090849702656</t>
        </is>
      </c>
      <c r="AY546" t="inlineStr">
        <is>
          <t>2266967230002656</t>
        </is>
      </c>
      <c r="AZ546" t="inlineStr">
        <is>
          <t>BOOK</t>
        </is>
      </c>
      <c r="BC546" t="inlineStr">
        <is>
          <t>32285001671287</t>
        </is>
      </c>
      <c r="BD546" t="inlineStr">
        <is>
          <t>893625430</t>
        </is>
      </c>
    </row>
    <row r="547">
      <c r="A547" t="inlineStr">
        <is>
          <t>No</t>
        </is>
      </c>
      <c r="B547" t="inlineStr">
        <is>
          <t>PJ7741.G54 A23</t>
        </is>
      </c>
      <c r="C547" t="inlineStr">
        <is>
          <t>0                      PJ 7741000G  54                 A  23</t>
        </is>
      </c>
      <c r="D547" t="inlineStr">
        <is>
          <t>A treasury of Kahlil Gibran / edited by Martin L. Wolf. Translated from the Arabic by Anthony Rizcallah Ferris.</t>
        </is>
      </c>
      <c r="F547" t="inlineStr">
        <is>
          <t>No</t>
        </is>
      </c>
      <c r="G547" t="inlineStr">
        <is>
          <t>1</t>
        </is>
      </c>
      <c r="H547" t="inlineStr">
        <is>
          <t>No</t>
        </is>
      </c>
      <c r="I547" t="inlineStr">
        <is>
          <t>No</t>
        </is>
      </c>
      <c r="J547" t="inlineStr">
        <is>
          <t>0</t>
        </is>
      </c>
      <c r="K547" t="inlineStr">
        <is>
          <t>Gibran, Kahlil, 1883-1931.</t>
        </is>
      </c>
      <c r="L547" t="inlineStr">
        <is>
          <t>New York : Citadel Press, 1951.</t>
        </is>
      </c>
      <c r="M547" t="inlineStr">
        <is>
          <t>1951</t>
        </is>
      </c>
      <c r="O547" t="inlineStr">
        <is>
          <t>eng</t>
        </is>
      </c>
      <c r="P547" t="inlineStr">
        <is>
          <t>nyu</t>
        </is>
      </c>
      <c r="R547" t="inlineStr">
        <is>
          <t xml:space="preserve">PJ </t>
        </is>
      </c>
      <c r="S547" t="n">
        <v>7</v>
      </c>
      <c r="T547" t="n">
        <v>7</v>
      </c>
      <c r="U547" t="inlineStr">
        <is>
          <t>1995-02-18</t>
        </is>
      </c>
      <c r="V547" t="inlineStr">
        <is>
          <t>1995-02-18</t>
        </is>
      </c>
      <c r="W547" t="inlineStr">
        <is>
          <t>1991-12-10</t>
        </is>
      </c>
      <c r="X547" t="inlineStr">
        <is>
          <t>1991-12-10</t>
        </is>
      </c>
      <c r="Y547" t="n">
        <v>844</v>
      </c>
      <c r="Z547" t="n">
        <v>813</v>
      </c>
      <c r="AA547" t="n">
        <v>1340</v>
      </c>
      <c r="AB547" t="n">
        <v>5</v>
      </c>
      <c r="AC547" t="n">
        <v>11</v>
      </c>
      <c r="AD547" t="n">
        <v>14</v>
      </c>
      <c r="AE547" t="n">
        <v>26</v>
      </c>
      <c r="AF547" t="n">
        <v>6</v>
      </c>
      <c r="AG547" t="n">
        <v>10</v>
      </c>
      <c r="AH547" t="n">
        <v>3</v>
      </c>
      <c r="AI547" t="n">
        <v>4</v>
      </c>
      <c r="AJ547" t="n">
        <v>7</v>
      </c>
      <c r="AK547" t="n">
        <v>13</v>
      </c>
      <c r="AL547" t="n">
        <v>1</v>
      </c>
      <c r="AM547" t="n">
        <v>5</v>
      </c>
      <c r="AN547" t="n">
        <v>0</v>
      </c>
      <c r="AO547" t="n">
        <v>0</v>
      </c>
      <c r="AP547" t="inlineStr">
        <is>
          <t>No</t>
        </is>
      </c>
      <c r="AQ547" t="inlineStr">
        <is>
          <t>No</t>
        </is>
      </c>
      <c r="AS547">
        <f>HYPERLINK("https://creighton-primo.hosted.exlibrisgroup.com/primo-explore/search?tab=default_tab&amp;search_scope=EVERYTHING&amp;vid=01CRU&amp;lang=en_US&amp;offset=0&amp;query=any,contains,991002335239702656","Catalog Record")</f>
        <v/>
      </c>
      <c r="AT547">
        <f>HYPERLINK("http://www.worldcat.org/oclc/322962","WorldCat Record")</f>
        <v/>
      </c>
      <c r="AU547" t="inlineStr">
        <is>
          <t>1467727:eng</t>
        </is>
      </c>
      <c r="AV547" t="inlineStr">
        <is>
          <t>322962</t>
        </is>
      </c>
      <c r="AW547" t="inlineStr">
        <is>
          <t>991002335239702656</t>
        </is>
      </c>
      <c r="AX547" t="inlineStr">
        <is>
          <t>991002335239702656</t>
        </is>
      </c>
      <c r="AY547" t="inlineStr">
        <is>
          <t>2257105800002656</t>
        </is>
      </c>
      <c r="AZ547" t="inlineStr">
        <is>
          <t>BOOK</t>
        </is>
      </c>
      <c r="BC547" t="inlineStr">
        <is>
          <t>32285000875277</t>
        </is>
      </c>
      <c r="BD547" t="inlineStr">
        <is>
          <t>893903827</t>
        </is>
      </c>
    </row>
    <row r="548">
      <c r="A548" t="inlineStr">
        <is>
          <t>No</t>
        </is>
      </c>
      <c r="B548" t="inlineStr">
        <is>
          <t>PJ7741.G54 T42 1949</t>
        </is>
      </c>
      <c r="C548" t="inlineStr">
        <is>
          <t>0                      PJ 7741000G  54                 T  42          1949</t>
        </is>
      </c>
      <c r="D548" t="inlineStr">
        <is>
          <t>Tears and laughter / by Kahlil Gibran ; [translated from the Arabic by Anthony Rizcallah Ferris ; edited by Martin L. Wolf.]</t>
        </is>
      </c>
      <c r="F548" t="inlineStr">
        <is>
          <t>No</t>
        </is>
      </c>
      <c r="G548" t="inlineStr">
        <is>
          <t>1</t>
        </is>
      </c>
      <c r="H548" t="inlineStr">
        <is>
          <t>No</t>
        </is>
      </c>
      <c r="I548" t="inlineStr">
        <is>
          <t>No</t>
        </is>
      </c>
      <c r="J548" t="inlineStr">
        <is>
          <t>0</t>
        </is>
      </c>
      <c r="K548" t="inlineStr">
        <is>
          <t>Gibran, Kahlil, 1883-1931.</t>
        </is>
      </c>
      <c r="L548" t="inlineStr">
        <is>
          <t>New York : Philosophical Library, [1949]</t>
        </is>
      </c>
      <c r="M548" t="inlineStr">
        <is>
          <t>1949</t>
        </is>
      </c>
      <c r="O548" t="inlineStr">
        <is>
          <t>eng</t>
        </is>
      </c>
      <c r="P548" t="inlineStr">
        <is>
          <t>nyu</t>
        </is>
      </c>
      <c r="R548" t="inlineStr">
        <is>
          <t xml:space="preserve">PJ </t>
        </is>
      </c>
      <c r="S548" t="n">
        <v>1</v>
      </c>
      <c r="T548" t="n">
        <v>1</v>
      </c>
      <c r="U548" t="inlineStr">
        <is>
          <t>2001-09-19</t>
        </is>
      </c>
      <c r="V548" t="inlineStr">
        <is>
          <t>2001-09-19</t>
        </is>
      </c>
      <c r="W548" t="inlineStr">
        <is>
          <t>2001-09-18</t>
        </is>
      </c>
      <c r="X548" t="inlineStr">
        <is>
          <t>2001-09-18</t>
        </is>
      </c>
      <c r="Y548" t="n">
        <v>364</v>
      </c>
      <c r="Z548" t="n">
        <v>341</v>
      </c>
      <c r="AA548" t="n">
        <v>849</v>
      </c>
      <c r="AB548" t="n">
        <v>7</v>
      </c>
      <c r="AC548" t="n">
        <v>10</v>
      </c>
      <c r="AD548" t="n">
        <v>8</v>
      </c>
      <c r="AE548" t="n">
        <v>18</v>
      </c>
      <c r="AF548" t="n">
        <v>1</v>
      </c>
      <c r="AG548" t="n">
        <v>7</v>
      </c>
      <c r="AH548" t="n">
        <v>0</v>
      </c>
      <c r="AI548" t="n">
        <v>3</v>
      </c>
      <c r="AJ548" t="n">
        <v>5</v>
      </c>
      <c r="AK548" t="n">
        <v>9</v>
      </c>
      <c r="AL548" t="n">
        <v>3</v>
      </c>
      <c r="AM548" t="n">
        <v>4</v>
      </c>
      <c r="AN548" t="n">
        <v>0</v>
      </c>
      <c r="AO548" t="n">
        <v>0</v>
      </c>
      <c r="AP548" t="inlineStr">
        <is>
          <t>No</t>
        </is>
      </c>
      <c r="AQ548" t="inlineStr">
        <is>
          <t>No</t>
        </is>
      </c>
      <c r="AS548">
        <f>HYPERLINK("https://creighton-primo.hosted.exlibrisgroup.com/primo-explore/search?tab=default_tab&amp;search_scope=EVERYTHING&amp;vid=01CRU&amp;lang=en_US&amp;offset=0&amp;query=any,contains,991003626549702656","Catalog Record")</f>
        <v/>
      </c>
      <c r="AT548">
        <f>HYPERLINK("http://www.worldcat.org/oclc/1241607","WorldCat Record")</f>
        <v/>
      </c>
      <c r="AU548" t="inlineStr">
        <is>
          <t>4919211278:eng</t>
        </is>
      </c>
      <c r="AV548" t="inlineStr">
        <is>
          <t>1241607</t>
        </is>
      </c>
      <c r="AW548" t="inlineStr">
        <is>
          <t>991003626549702656</t>
        </is>
      </c>
      <c r="AX548" t="inlineStr">
        <is>
          <t>991003626549702656</t>
        </is>
      </c>
      <c r="AY548" t="inlineStr">
        <is>
          <t>2261090140002656</t>
        </is>
      </c>
      <c r="AZ548" t="inlineStr">
        <is>
          <t>BOOK</t>
        </is>
      </c>
      <c r="BC548" t="inlineStr">
        <is>
          <t>32285004392089</t>
        </is>
      </c>
      <c r="BD548" t="inlineStr">
        <is>
          <t>893893924</t>
        </is>
      </c>
    </row>
    <row r="549">
      <c r="A549" t="inlineStr">
        <is>
          <t>No</t>
        </is>
      </c>
      <c r="B549" t="inlineStr">
        <is>
          <t>PJ7755 .N8 1970</t>
        </is>
      </c>
      <c r="C549" t="inlineStr">
        <is>
          <t>0                      PJ 7755000N  8           1970</t>
        </is>
      </c>
      <c r="D549" t="inlineStr">
        <is>
          <t>Hispano-Arabic poetry and its relations with the old Provenc̜al troubadours.</t>
        </is>
      </c>
      <c r="F549" t="inlineStr">
        <is>
          <t>No</t>
        </is>
      </c>
      <c r="G549" t="inlineStr">
        <is>
          <t>1</t>
        </is>
      </c>
      <c r="H549" t="inlineStr">
        <is>
          <t>No</t>
        </is>
      </c>
      <c r="I549" t="inlineStr">
        <is>
          <t>No</t>
        </is>
      </c>
      <c r="J549" t="inlineStr">
        <is>
          <t>0</t>
        </is>
      </c>
      <c r="K549" t="inlineStr">
        <is>
          <t>Nykl, A. R. (Alois Richard), 1885-1958.</t>
        </is>
      </c>
      <c r="L549" t="inlineStr">
        <is>
          <t>Baltimore : [J. H. Furst Co., 1970, c1946]</t>
        </is>
      </c>
      <c r="M549" t="inlineStr">
        <is>
          <t>1970</t>
        </is>
      </c>
      <c r="O549" t="inlineStr">
        <is>
          <t>eng</t>
        </is>
      </c>
      <c r="P549" t="inlineStr">
        <is>
          <t>nju</t>
        </is>
      </c>
      <c r="R549" t="inlineStr">
        <is>
          <t xml:space="preserve">PJ </t>
        </is>
      </c>
      <c r="S549" t="n">
        <v>2</v>
      </c>
      <c r="T549" t="n">
        <v>2</v>
      </c>
      <c r="U549" t="inlineStr">
        <is>
          <t>2002-06-09</t>
        </is>
      </c>
      <c r="V549" t="inlineStr">
        <is>
          <t>2002-06-09</t>
        </is>
      </c>
      <c r="W549" t="inlineStr">
        <is>
          <t>1994-06-29</t>
        </is>
      </c>
      <c r="X549" t="inlineStr">
        <is>
          <t>1994-06-29</t>
        </is>
      </c>
      <c r="Y549" t="n">
        <v>63</v>
      </c>
      <c r="Z549" t="n">
        <v>45</v>
      </c>
      <c r="AA549" t="n">
        <v>352</v>
      </c>
      <c r="AB549" t="n">
        <v>1</v>
      </c>
      <c r="AC549" t="n">
        <v>4</v>
      </c>
      <c r="AD549" t="n">
        <v>1</v>
      </c>
      <c r="AE549" t="n">
        <v>21</v>
      </c>
      <c r="AF549" t="n">
        <v>0</v>
      </c>
      <c r="AG549" t="n">
        <v>6</v>
      </c>
      <c r="AH549" t="n">
        <v>0</v>
      </c>
      <c r="AI549" t="n">
        <v>5</v>
      </c>
      <c r="AJ549" t="n">
        <v>1</v>
      </c>
      <c r="AK549" t="n">
        <v>13</v>
      </c>
      <c r="AL549" t="n">
        <v>0</v>
      </c>
      <c r="AM549" t="n">
        <v>3</v>
      </c>
      <c r="AN549" t="n">
        <v>0</v>
      </c>
      <c r="AO549" t="n">
        <v>0</v>
      </c>
      <c r="AP549" t="inlineStr">
        <is>
          <t>No</t>
        </is>
      </c>
      <c r="AQ549" t="inlineStr">
        <is>
          <t>Yes</t>
        </is>
      </c>
      <c r="AR549">
        <f>HYPERLINK("http://catalog.hathitrust.org/Record/010563031","HathiTrust Record")</f>
        <v/>
      </c>
      <c r="AS549">
        <f>HYPERLINK("https://creighton-primo.hosted.exlibrisgroup.com/primo-explore/search?tab=default_tab&amp;search_scope=EVERYTHING&amp;vid=01CRU&amp;lang=en_US&amp;offset=0&amp;query=any,contains,991003261329702656","Catalog Record")</f>
        <v/>
      </c>
      <c r="AT549">
        <f>HYPERLINK("http://www.worldcat.org/oclc/787831","WorldCat Record")</f>
        <v/>
      </c>
      <c r="AU549" t="inlineStr">
        <is>
          <t>1725919:eng</t>
        </is>
      </c>
      <c r="AV549" t="inlineStr">
        <is>
          <t>787831</t>
        </is>
      </c>
      <c r="AW549" t="inlineStr">
        <is>
          <t>991003261329702656</t>
        </is>
      </c>
      <c r="AX549" t="inlineStr">
        <is>
          <t>991003261329702656</t>
        </is>
      </c>
      <c r="AY549" t="inlineStr">
        <is>
          <t>2264707950002656</t>
        </is>
      </c>
      <c r="AZ549" t="inlineStr">
        <is>
          <t>BOOK</t>
        </is>
      </c>
      <c r="BC549" t="inlineStr">
        <is>
          <t>32285001929875</t>
        </is>
      </c>
      <c r="BD549" t="inlineStr">
        <is>
          <t>893627517</t>
        </is>
      </c>
    </row>
    <row r="550">
      <c r="A550" t="inlineStr">
        <is>
          <t>No</t>
        </is>
      </c>
      <c r="B550" t="inlineStr">
        <is>
          <t>PJ7755.I195 A57 1978</t>
        </is>
      </c>
      <c r="C550" t="inlineStr">
        <is>
          <t>0                      PJ 7755000I  195                A  57          1978</t>
        </is>
      </c>
      <c r="D550" t="inlineStr">
        <is>
          <t>Poesías / [por] Ibn Al-Zaqqāq ; edición y traducción en verso [del árabe] de Emilio García Gómez.</t>
        </is>
      </c>
      <c r="F550" t="inlineStr">
        <is>
          <t>No</t>
        </is>
      </c>
      <c r="G550" t="inlineStr">
        <is>
          <t>1</t>
        </is>
      </c>
      <c r="H550" t="inlineStr">
        <is>
          <t>No</t>
        </is>
      </c>
      <c r="I550" t="inlineStr">
        <is>
          <t>No</t>
        </is>
      </c>
      <c r="J550" t="inlineStr">
        <is>
          <t>0</t>
        </is>
      </c>
      <c r="K550" t="inlineStr">
        <is>
          <t>Ibn al-Zaqqāq, ʻAlī ibn ʻAṭīyah, -approximately 1133 or 1134.</t>
        </is>
      </c>
      <c r="L550" t="inlineStr">
        <is>
          <t>Madrid : Instituto Hispano-Arabe de Cultura, 1978.</t>
        </is>
      </c>
      <c r="M550" t="inlineStr">
        <is>
          <t>1978</t>
        </is>
      </c>
      <c r="N550" t="inlineStr">
        <is>
          <t>2. ed.</t>
        </is>
      </c>
      <c r="O550" t="inlineStr">
        <is>
          <t>spa</t>
        </is>
      </c>
      <c r="P550" t="inlineStr">
        <is>
          <t xml:space="preserve">sp </t>
        </is>
      </c>
      <c r="Q550" t="inlineStr">
        <is>
          <t>Clásicos hispano-árabes bilingües ; no. 1</t>
        </is>
      </c>
      <c r="R550" t="inlineStr">
        <is>
          <t xml:space="preserve">PJ </t>
        </is>
      </c>
      <c r="S550" t="n">
        <v>1</v>
      </c>
      <c r="T550" t="n">
        <v>1</v>
      </c>
      <c r="U550" t="inlineStr">
        <is>
          <t>2005-10-27</t>
        </is>
      </c>
      <c r="V550" t="inlineStr">
        <is>
          <t>2005-10-27</t>
        </is>
      </c>
      <c r="W550" t="inlineStr">
        <is>
          <t>1993-05-04</t>
        </is>
      </c>
      <c r="X550" t="inlineStr">
        <is>
          <t>1993-05-04</t>
        </is>
      </c>
      <c r="Y550" t="n">
        <v>36</v>
      </c>
      <c r="Z550" t="n">
        <v>19</v>
      </c>
      <c r="AA550" t="n">
        <v>21</v>
      </c>
      <c r="AB550" t="n">
        <v>1</v>
      </c>
      <c r="AC550" t="n">
        <v>1</v>
      </c>
      <c r="AD550" t="n">
        <v>1</v>
      </c>
      <c r="AE550" t="n">
        <v>1</v>
      </c>
      <c r="AF550" t="n">
        <v>0</v>
      </c>
      <c r="AG550" t="n">
        <v>0</v>
      </c>
      <c r="AH550" t="n">
        <v>1</v>
      </c>
      <c r="AI550" t="n">
        <v>1</v>
      </c>
      <c r="AJ550" t="n">
        <v>1</v>
      </c>
      <c r="AK550" t="n">
        <v>1</v>
      </c>
      <c r="AL550" t="n">
        <v>0</v>
      </c>
      <c r="AM550" t="n">
        <v>0</v>
      </c>
      <c r="AN550" t="n">
        <v>0</v>
      </c>
      <c r="AO550" t="n">
        <v>0</v>
      </c>
      <c r="AP550" t="inlineStr">
        <is>
          <t>No</t>
        </is>
      </c>
      <c r="AQ550" t="inlineStr">
        <is>
          <t>Yes</t>
        </is>
      </c>
      <c r="AR550">
        <f>HYPERLINK("http://catalog.hathitrust.org/Record/000301133","HathiTrust Record")</f>
        <v/>
      </c>
      <c r="AS550">
        <f>HYPERLINK("https://creighton-primo.hosted.exlibrisgroup.com/primo-explore/search?tab=default_tab&amp;search_scope=EVERYTHING&amp;vid=01CRU&amp;lang=en_US&amp;offset=0&amp;query=any,contains,991004753349702656","Catalog Record")</f>
        <v/>
      </c>
      <c r="AT550">
        <f>HYPERLINK("http://www.worldcat.org/oclc/4951667","WorldCat Record")</f>
        <v/>
      </c>
      <c r="AU550" t="inlineStr">
        <is>
          <t>5453674478:spa</t>
        </is>
      </c>
      <c r="AV550" t="inlineStr">
        <is>
          <t>4951667</t>
        </is>
      </c>
      <c r="AW550" t="inlineStr">
        <is>
          <t>991004753349702656</t>
        </is>
      </c>
      <c r="AX550" t="inlineStr">
        <is>
          <t>991004753349702656</t>
        </is>
      </c>
      <c r="AY550" t="inlineStr">
        <is>
          <t>2257589520002656</t>
        </is>
      </c>
      <c r="AZ550" t="inlineStr">
        <is>
          <t>BOOK</t>
        </is>
      </c>
      <c r="BB550" t="inlineStr">
        <is>
          <t>9788474720020</t>
        </is>
      </c>
      <c r="BC550" t="inlineStr">
        <is>
          <t>32285001671311</t>
        </is>
      </c>
      <c r="BD550" t="inlineStr">
        <is>
          <t>893430456</t>
        </is>
      </c>
    </row>
    <row r="551">
      <c r="A551" t="inlineStr">
        <is>
          <t>No</t>
        </is>
      </c>
      <c r="B551" t="inlineStr">
        <is>
          <t>PJ7796.E1 A93 1969</t>
        </is>
      </c>
      <c r="C551" t="inlineStr">
        <is>
          <t>0                      PJ 7796000E  1                  A  93          1969</t>
        </is>
      </c>
      <c r="D551" t="inlineStr">
        <is>
          <t>Tahafut al-tahafut (The incoherence of the incoherence). Translated from the Arabic with introd. and notes by Simon van den Bergh.</t>
        </is>
      </c>
      <c r="E551" t="inlineStr">
        <is>
          <t>V.2</t>
        </is>
      </c>
      <c r="F551" t="inlineStr">
        <is>
          <t>Yes</t>
        </is>
      </c>
      <c r="G551" t="inlineStr">
        <is>
          <t>1</t>
        </is>
      </c>
      <c r="H551" t="inlineStr">
        <is>
          <t>No</t>
        </is>
      </c>
      <c r="I551" t="inlineStr">
        <is>
          <t>No</t>
        </is>
      </c>
      <c r="J551" t="inlineStr">
        <is>
          <t>0</t>
        </is>
      </c>
      <c r="K551" t="inlineStr">
        <is>
          <t>Averroës, 1126-1198.</t>
        </is>
      </c>
      <c r="L551" t="inlineStr">
        <is>
          <t>London, Luzac, 1969.</t>
        </is>
      </c>
      <c r="M551" t="inlineStr">
        <is>
          <t>1969</t>
        </is>
      </c>
      <c r="O551" t="inlineStr">
        <is>
          <t>eng</t>
        </is>
      </c>
      <c r="P551" t="inlineStr">
        <is>
          <t>enk</t>
        </is>
      </c>
      <c r="Q551" t="inlineStr">
        <is>
          <t>"E. J. W. Gibb memorial" series. New series, 19</t>
        </is>
      </c>
      <c r="R551" t="inlineStr">
        <is>
          <t xml:space="preserve">PJ </t>
        </is>
      </c>
      <c r="S551" t="n">
        <v>1</v>
      </c>
      <c r="T551" t="n">
        <v>2</v>
      </c>
      <c r="U551" t="inlineStr">
        <is>
          <t>1998-02-10</t>
        </is>
      </c>
      <c r="V551" t="inlineStr">
        <is>
          <t>1998-02-10</t>
        </is>
      </c>
      <c r="W551" t="inlineStr">
        <is>
          <t>1993-05-04</t>
        </is>
      </c>
      <c r="X551" t="inlineStr">
        <is>
          <t>1993-05-04</t>
        </is>
      </c>
      <c r="Y551" t="n">
        <v>29</v>
      </c>
      <c r="Z551" t="n">
        <v>22</v>
      </c>
      <c r="AA551" t="n">
        <v>246</v>
      </c>
      <c r="AB551" t="n">
        <v>1</v>
      </c>
      <c r="AC551" t="n">
        <v>2</v>
      </c>
      <c r="AD551" t="n">
        <v>1</v>
      </c>
      <c r="AE551" t="n">
        <v>24</v>
      </c>
      <c r="AF551" t="n">
        <v>0</v>
      </c>
      <c r="AG551" t="n">
        <v>7</v>
      </c>
      <c r="AH551" t="n">
        <v>0</v>
      </c>
      <c r="AI551" t="n">
        <v>7</v>
      </c>
      <c r="AJ551" t="n">
        <v>1</v>
      </c>
      <c r="AK551" t="n">
        <v>18</v>
      </c>
      <c r="AL551" t="n">
        <v>0</v>
      </c>
      <c r="AM551" t="n">
        <v>1</v>
      </c>
      <c r="AN551" t="n">
        <v>0</v>
      </c>
      <c r="AO551" t="n">
        <v>0</v>
      </c>
      <c r="AP551" t="inlineStr">
        <is>
          <t>No</t>
        </is>
      </c>
      <c r="AQ551" t="inlineStr">
        <is>
          <t>No</t>
        </is>
      </c>
      <c r="AS551">
        <f>HYPERLINK("https://creighton-primo.hosted.exlibrisgroup.com/primo-explore/search?tab=default_tab&amp;search_scope=EVERYTHING&amp;vid=01CRU&amp;lang=en_US&amp;offset=0&amp;query=any,contains,991000364379702656","Catalog Record")</f>
        <v/>
      </c>
      <c r="AT551">
        <f>HYPERLINK("http://www.worldcat.org/oclc/10388022","WorldCat Record")</f>
        <v/>
      </c>
      <c r="AU551" t="inlineStr">
        <is>
          <t>4927745038:eng</t>
        </is>
      </c>
      <c r="AV551" t="inlineStr">
        <is>
          <t>10388022</t>
        </is>
      </c>
      <c r="AW551" t="inlineStr">
        <is>
          <t>991000364379702656</t>
        </is>
      </c>
      <c r="AX551" t="inlineStr">
        <is>
          <t>991000364379702656</t>
        </is>
      </c>
      <c r="AY551" t="inlineStr">
        <is>
          <t>2255079970002656</t>
        </is>
      </c>
      <c r="AZ551" t="inlineStr">
        <is>
          <t>BOOK</t>
        </is>
      </c>
      <c r="BC551" t="inlineStr">
        <is>
          <t>32285001671352</t>
        </is>
      </c>
      <c r="BD551" t="inlineStr">
        <is>
          <t>893689632</t>
        </is>
      </c>
    </row>
    <row r="552">
      <c r="A552" t="inlineStr">
        <is>
          <t>No</t>
        </is>
      </c>
      <c r="B552" t="inlineStr">
        <is>
          <t>PJ7796.E1 A93 1969</t>
        </is>
      </c>
      <c r="C552" t="inlineStr">
        <is>
          <t>0                      PJ 7796000E  1                  A  93          1969</t>
        </is>
      </c>
      <c r="D552" t="inlineStr">
        <is>
          <t>Tahafut al-tahafut (The incoherence of the incoherence). Translated from the Arabic with introd. and notes by Simon van den Bergh.</t>
        </is>
      </c>
      <c r="E552" t="inlineStr">
        <is>
          <t>V.1</t>
        </is>
      </c>
      <c r="F552" t="inlineStr">
        <is>
          <t>Yes</t>
        </is>
      </c>
      <c r="G552" t="inlineStr">
        <is>
          <t>1</t>
        </is>
      </c>
      <c r="H552" t="inlineStr">
        <is>
          <t>No</t>
        </is>
      </c>
      <c r="I552" t="inlineStr">
        <is>
          <t>No</t>
        </is>
      </c>
      <c r="J552" t="inlineStr">
        <is>
          <t>0</t>
        </is>
      </c>
      <c r="K552" t="inlineStr">
        <is>
          <t>Averroës, 1126-1198.</t>
        </is>
      </c>
      <c r="L552" t="inlineStr">
        <is>
          <t>London, Luzac, 1969.</t>
        </is>
      </c>
      <c r="M552" t="inlineStr">
        <is>
          <t>1969</t>
        </is>
      </c>
      <c r="O552" t="inlineStr">
        <is>
          <t>eng</t>
        </is>
      </c>
      <c r="P552" t="inlineStr">
        <is>
          <t>enk</t>
        </is>
      </c>
      <c r="Q552" t="inlineStr">
        <is>
          <t>"E. J. W. Gibb memorial" series. New series, 19</t>
        </is>
      </c>
      <c r="R552" t="inlineStr">
        <is>
          <t xml:space="preserve">PJ </t>
        </is>
      </c>
      <c r="S552" t="n">
        <v>1</v>
      </c>
      <c r="T552" t="n">
        <v>2</v>
      </c>
      <c r="U552" t="inlineStr">
        <is>
          <t>1998-02-10</t>
        </is>
      </c>
      <c r="V552" t="inlineStr">
        <is>
          <t>1998-02-10</t>
        </is>
      </c>
      <c r="W552" t="inlineStr">
        <is>
          <t>1993-05-04</t>
        </is>
      </c>
      <c r="X552" t="inlineStr">
        <is>
          <t>1993-05-04</t>
        </is>
      </c>
      <c r="Y552" t="n">
        <v>29</v>
      </c>
      <c r="Z552" t="n">
        <v>22</v>
      </c>
      <c r="AA552" t="n">
        <v>246</v>
      </c>
      <c r="AB552" t="n">
        <v>1</v>
      </c>
      <c r="AC552" t="n">
        <v>2</v>
      </c>
      <c r="AD552" t="n">
        <v>1</v>
      </c>
      <c r="AE552" t="n">
        <v>24</v>
      </c>
      <c r="AF552" t="n">
        <v>0</v>
      </c>
      <c r="AG552" t="n">
        <v>7</v>
      </c>
      <c r="AH552" t="n">
        <v>0</v>
      </c>
      <c r="AI552" t="n">
        <v>7</v>
      </c>
      <c r="AJ552" t="n">
        <v>1</v>
      </c>
      <c r="AK552" t="n">
        <v>18</v>
      </c>
      <c r="AL552" t="n">
        <v>0</v>
      </c>
      <c r="AM552" t="n">
        <v>1</v>
      </c>
      <c r="AN552" t="n">
        <v>0</v>
      </c>
      <c r="AO552" t="n">
        <v>0</v>
      </c>
      <c r="AP552" t="inlineStr">
        <is>
          <t>No</t>
        </is>
      </c>
      <c r="AQ552" t="inlineStr">
        <is>
          <t>No</t>
        </is>
      </c>
      <c r="AS552">
        <f>HYPERLINK("https://creighton-primo.hosted.exlibrisgroup.com/primo-explore/search?tab=default_tab&amp;search_scope=EVERYTHING&amp;vid=01CRU&amp;lang=en_US&amp;offset=0&amp;query=any,contains,991000364379702656","Catalog Record")</f>
        <v/>
      </c>
      <c r="AT552">
        <f>HYPERLINK("http://www.worldcat.org/oclc/10388022","WorldCat Record")</f>
        <v/>
      </c>
      <c r="AU552" t="inlineStr">
        <is>
          <t>4927745038:eng</t>
        </is>
      </c>
      <c r="AV552" t="inlineStr">
        <is>
          <t>10388022</t>
        </is>
      </c>
      <c r="AW552" t="inlineStr">
        <is>
          <t>991000364379702656</t>
        </is>
      </c>
      <c r="AX552" t="inlineStr">
        <is>
          <t>991000364379702656</t>
        </is>
      </c>
      <c r="AY552" t="inlineStr">
        <is>
          <t>2255079970002656</t>
        </is>
      </c>
      <c r="AZ552" t="inlineStr">
        <is>
          <t>BOOK</t>
        </is>
      </c>
      <c r="BC552" t="inlineStr">
        <is>
          <t>32285001671345</t>
        </is>
      </c>
      <c r="BD552" t="inlineStr">
        <is>
          <t>893695770</t>
        </is>
      </c>
    </row>
    <row r="553">
      <c r="A553" t="inlineStr">
        <is>
          <t>No</t>
        </is>
      </c>
      <c r="B553" t="inlineStr">
        <is>
          <t>PJ7816.A335 S5513 1993</t>
        </is>
      </c>
      <c r="C553" t="inlineStr">
        <is>
          <t>0                      PJ 7816000A  335                S  5513        1993</t>
        </is>
      </c>
      <c r="D553" t="inlineStr">
        <is>
          <t>A balcony over the Fakihani / three novellas by Liyana Badr ; translated from the Arabic by Peter Clark with Christopher Tingley ; introduction by Barbara Harlow.</t>
        </is>
      </c>
      <c r="F553" t="inlineStr">
        <is>
          <t>No</t>
        </is>
      </c>
      <c r="G553" t="inlineStr">
        <is>
          <t>1</t>
        </is>
      </c>
      <c r="H553" t="inlineStr">
        <is>
          <t>No</t>
        </is>
      </c>
      <c r="I553" t="inlineStr">
        <is>
          <t>No</t>
        </is>
      </c>
      <c r="J553" t="inlineStr">
        <is>
          <t>0</t>
        </is>
      </c>
      <c r="K553" t="inlineStr">
        <is>
          <t>Badr, Liyānah.</t>
        </is>
      </c>
      <c r="L553" t="inlineStr">
        <is>
          <t>Brooklyn, N.Y. : Interlink Books, 1993.</t>
        </is>
      </c>
      <c r="M553" t="inlineStr">
        <is>
          <t>1993</t>
        </is>
      </c>
      <c r="O553" t="inlineStr">
        <is>
          <t>eng</t>
        </is>
      </c>
      <c r="P553" t="inlineStr">
        <is>
          <t>nyu</t>
        </is>
      </c>
      <c r="R553" t="inlineStr">
        <is>
          <t xml:space="preserve">PJ </t>
        </is>
      </c>
      <c r="S553" t="n">
        <v>3</v>
      </c>
      <c r="T553" t="n">
        <v>3</v>
      </c>
      <c r="U553" t="inlineStr">
        <is>
          <t>2005-02-01</t>
        </is>
      </c>
      <c r="V553" t="inlineStr">
        <is>
          <t>2005-02-01</t>
        </is>
      </c>
      <c r="W553" t="inlineStr">
        <is>
          <t>2001-01-16</t>
        </is>
      </c>
      <c r="X553" t="inlineStr">
        <is>
          <t>2001-01-16</t>
        </is>
      </c>
      <c r="Y553" t="n">
        <v>232</v>
      </c>
      <c r="Z553" t="n">
        <v>206</v>
      </c>
      <c r="AA553" t="n">
        <v>212</v>
      </c>
      <c r="AB553" t="n">
        <v>2</v>
      </c>
      <c r="AC553" t="n">
        <v>2</v>
      </c>
      <c r="AD553" t="n">
        <v>4</v>
      </c>
      <c r="AE553" t="n">
        <v>4</v>
      </c>
      <c r="AF553" t="n">
        <v>0</v>
      </c>
      <c r="AG553" t="n">
        <v>0</v>
      </c>
      <c r="AH553" t="n">
        <v>0</v>
      </c>
      <c r="AI553" t="n">
        <v>0</v>
      </c>
      <c r="AJ553" t="n">
        <v>3</v>
      </c>
      <c r="AK553" t="n">
        <v>3</v>
      </c>
      <c r="AL553" t="n">
        <v>1</v>
      </c>
      <c r="AM553" t="n">
        <v>1</v>
      </c>
      <c r="AN553" t="n">
        <v>0</v>
      </c>
      <c r="AO553" t="n">
        <v>0</v>
      </c>
      <c r="AP553" t="inlineStr">
        <is>
          <t>No</t>
        </is>
      </c>
      <c r="AQ553" t="inlineStr">
        <is>
          <t>Yes</t>
        </is>
      </c>
      <c r="AR553">
        <f>HYPERLINK("http://catalog.hathitrust.org/Record/101946579","HathiTrust Record")</f>
        <v/>
      </c>
      <c r="AS553">
        <f>HYPERLINK("https://creighton-primo.hosted.exlibrisgroup.com/primo-explore/search?tab=default_tab&amp;search_scope=EVERYTHING&amp;vid=01CRU&amp;lang=en_US&amp;offset=0&amp;query=any,contains,991003347239702656","Catalog Record")</f>
        <v/>
      </c>
      <c r="AT553">
        <f>HYPERLINK("http://www.worldcat.org/oclc/26300687","WorldCat Record")</f>
        <v/>
      </c>
      <c r="AU553" t="inlineStr">
        <is>
          <t>9593920175:eng</t>
        </is>
      </c>
      <c r="AV553" t="inlineStr">
        <is>
          <t>26300687</t>
        </is>
      </c>
      <c r="AW553" t="inlineStr">
        <is>
          <t>991003347239702656</t>
        </is>
      </c>
      <c r="AX553" t="inlineStr">
        <is>
          <t>991003347239702656</t>
        </is>
      </c>
      <c r="AY553" t="inlineStr">
        <is>
          <t>2270273160002656</t>
        </is>
      </c>
      <c r="AZ553" t="inlineStr">
        <is>
          <t>BOOK</t>
        </is>
      </c>
      <c r="BB553" t="inlineStr">
        <is>
          <t>9781566561044</t>
        </is>
      </c>
      <c r="BC553" t="inlineStr">
        <is>
          <t>32285004284344</t>
        </is>
      </c>
      <c r="BD553" t="inlineStr">
        <is>
          <t>893511870</t>
        </is>
      </c>
    </row>
    <row r="554">
      <c r="A554" t="inlineStr">
        <is>
          <t>No</t>
        </is>
      </c>
      <c r="B554" t="inlineStr">
        <is>
          <t>PJ7820.A7 A2 2000</t>
        </is>
      </c>
      <c r="C554" t="inlineStr">
        <is>
          <t>0                      PJ 7820000A  7                  A  2           2000</t>
        </is>
      </c>
      <c r="D554" t="inlineStr">
        <is>
          <t>The Adam of two Edens : [poems] / Mahmoud Darwish ; edited by Munir Akash &amp; Daniel Moore.</t>
        </is>
      </c>
      <c r="F554" t="inlineStr">
        <is>
          <t>No</t>
        </is>
      </c>
      <c r="G554" t="inlineStr">
        <is>
          <t>1</t>
        </is>
      </c>
      <c r="H554" t="inlineStr">
        <is>
          <t>No</t>
        </is>
      </c>
      <c r="I554" t="inlineStr">
        <is>
          <t>No</t>
        </is>
      </c>
      <c r="J554" t="inlineStr">
        <is>
          <t>0</t>
        </is>
      </c>
      <c r="K554" t="inlineStr">
        <is>
          <t>Darwīsh, Maḥmūd.</t>
        </is>
      </c>
      <c r="L554" t="inlineStr">
        <is>
          <t>[Bethesda] : Jusoor ; Syracuse, N.Y. : Syracuse University Press, 2000.</t>
        </is>
      </c>
      <c r="M554" t="inlineStr">
        <is>
          <t>2000</t>
        </is>
      </c>
      <c r="N554" t="inlineStr">
        <is>
          <t>1st ed.</t>
        </is>
      </c>
      <c r="O554" t="inlineStr">
        <is>
          <t>eng</t>
        </is>
      </c>
      <c r="P554" t="inlineStr">
        <is>
          <t>mdu</t>
        </is>
      </c>
      <c r="R554" t="inlineStr">
        <is>
          <t xml:space="preserve">PJ </t>
        </is>
      </c>
      <c r="S554" t="n">
        <v>9</v>
      </c>
      <c r="T554" t="n">
        <v>9</v>
      </c>
      <c r="U554" t="inlineStr">
        <is>
          <t>2010-05-02</t>
        </is>
      </c>
      <c r="V554" t="inlineStr">
        <is>
          <t>2010-05-02</t>
        </is>
      </c>
      <c r="W554" t="inlineStr">
        <is>
          <t>2009-03-30</t>
        </is>
      </c>
      <c r="X554" t="inlineStr">
        <is>
          <t>2009-03-30</t>
        </is>
      </c>
      <c r="Y554" t="n">
        <v>266</v>
      </c>
      <c r="Z554" t="n">
        <v>228</v>
      </c>
      <c r="AA554" t="n">
        <v>236</v>
      </c>
      <c r="AB554" t="n">
        <v>2</v>
      </c>
      <c r="AC554" t="n">
        <v>2</v>
      </c>
      <c r="AD554" t="n">
        <v>13</v>
      </c>
      <c r="AE554" t="n">
        <v>13</v>
      </c>
      <c r="AF554" t="n">
        <v>3</v>
      </c>
      <c r="AG554" t="n">
        <v>3</v>
      </c>
      <c r="AH554" t="n">
        <v>6</v>
      </c>
      <c r="AI554" t="n">
        <v>6</v>
      </c>
      <c r="AJ554" t="n">
        <v>8</v>
      </c>
      <c r="AK554" t="n">
        <v>8</v>
      </c>
      <c r="AL554" t="n">
        <v>1</v>
      </c>
      <c r="AM554" t="n">
        <v>1</v>
      </c>
      <c r="AN554" t="n">
        <v>0</v>
      </c>
      <c r="AO554" t="n">
        <v>0</v>
      </c>
      <c r="AP554" t="inlineStr">
        <is>
          <t>No</t>
        </is>
      </c>
      <c r="AQ554" t="inlineStr">
        <is>
          <t>Yes</t>
        </is>
      </c>
      <c r="AR554">
        <f>HYPERLINK("http://catalog.hathitrust.org/Record/004181142","HathiTrust Record")</f>
        <v/>
      </c>
      <c r="AS554">
        <f>HYPERLINK("https://creighton-primo.hosted.exlibrisgroup.com/primo-explore/search?tab=default_tab&amp;search_scope=EVERYTHING&amp;vid=01CRU&amp;lang=en_US&amp;offset=0&amp;query=any,contains,991005292339702656","Catalog Record")</f>
        <v/>
      </c>
      <c r="AT554">
        <f>HYPERLINK("http://www.worldcat.org/oclc/45532458","WorldCat Record")</f>
        <v/>
      </c>
      <c r="AU554" t="inlineStr">
        <is>
          <t>3373315152:eng</t>
        </is>
      </c>
      <c r="AV554" t="inlineStr">
        <is>
          <t>45532458</t>
        </is>
      </c>
      <c r="AW554" t="inlineStr">
        <is>
          <t>991005292339702656</t>
        </is>
      </c>
      <c r="AX554" t="inlineStr">
        <is>
          <t>991005292339702656</t>
        </is>
      </c>
      <c r="AY554" t="inlineStr">
        <is>
          <t>2272420460002656</t>
        </is>
      </c>
      <c r="AZ554" t="inlineStr">
        <is>
          <t>BOOK</t>
        </is>
      </c>
      <c r="BB554" t="inlineStr">
        <is>
          <t>9780815607106</t>
        </is>
      </c>
      <c r="BC554" t="inlineStr">
        <is>
          <t>32285005511034</t>
        </is>
      </c>
      <c r="BD554" t="inlineStr">
        <is>
          <t>893236603</t>
        </is>
      </c>
    </row>
    <row r="555">
      <c r="A555" t="inlineStr">
        <is>
          <t>No</t>
        </is>
      </c>
      <c r="B555" t="inlineStr">
        <is>
          <t>PJ7826.I2 A233 1971</t>
        </is>
      </c>
      <c r="C555" t="inlineStr">
        <is>
          <t>0                      PJ 7826000I  2                  A  233         1971</t>
        </is>
      </c>
      <c r="D555" t="inlineStr">
        <is>
          <t>The secrets of the heart : a special selection / Kahlil Gibran. [Translated from the Arabic by Anthony Rizcallah Ferris and edited by Martin L. Wolf]</t>
        </is>
      </c>
      <c r="F555" t="inlineStr">
        <is>
          <t>No</t>
        </is>
      </c>
      <c r="G555" t="inlineStr">
        <is>
          <t>1</t>
        </is>
      </c>
      <c r="H555" t="inlineStr">
        <is>
          <t>No</t>
        </is>
      </c>
      <c r="I555" t="inlineStr">
        <is>
          <t>No</t>
        </is>
      </c>
      <c r="J555" t="inlineStr">
        <is>
          <t>0</t>
        </is>
      </c>
      <c r="K555" t="inlineStr">
        <is>
          <t>Gibran, Kahlil, 1883-1931.</t>
        </is>
      </c>
      <c r="L555" t="inlineStr">
        <is>
          <t>New York : Wisdom Library, [c1971]</t>
        </is>
      </c>
      <c r="M555" t="inlineStr">
        <is>
          <t>1971</t>
        </is>
      </c>
      <c r="O555" t="inlineStr">
        <is>
          <t>eng</t>
        </is>
      </c>
      <c r="P555" t="inlineStr">
        <is>
          <t>nyu</t>
        </is>
      </c>
      <c r="R555" t="inlineStr">
        <is>
          <t xml:space="preserve">PJ </t>
        </is>
      </c>
      <c r="S555" t="n">
        <v>1</v>
      </c>
      <c r="T555" t="n">
        <v>1</v>
      </c>
      <c r="U555" t="inlineStr">
        <is>
          <t>2001-09-18</t>
        </is>
      </c>
      <c r="V555" t="inlineStr">
        <is>
          <t>2001-09-18</t>
        </is>
      </c>
      <c r="W555" t="inlineStr">
        <is>
          <t>2001-09-17</t>
        </is>
      </c>
      <c r="X555" t="inlineStr">
        <is>
          <t>2001-09-17</t>
        </is>
      </c>
      <c r="Y555" t="n">
        <v>414</v>
      </c>
      <c r="Z555" t="n">
        <v>395</v>
      </c>
      <c r="AA555" t="n">
        <v>411</v>
      </c>
      <c r="AB555" t="n">
        <v>3</v>
      </c>
      <c r="AC555" t="n">
        <v>3</v>
      </c>
      <c r="AD555" t="n">
        <v>8</v>
      </c>
      <c r="AE555" t="n">
        <v>8</v>
      </c>
      <c r="AF555" t="n">
        <v>2</v>
      </c>
      <c r="AG555" t="n">
        <v>2</v>
      </c>
      <c r="AH555" t="n">
        <v>3</v>
      </c>
      <c r="AI555" t="n">
        <v>3</v>
      </c>
      <c r="AJ555" t="n">
        <v>3</v>
      </c>
      <c r="AK555" t="n">
        <v>3</v>
      </c>
      <c r="AL555" t="n">
        <v>1</v>
      </c>
      <c r="AM555" t="n">
        <v>1</v>
      </c>
      <c r="AN555" t="n">
        <v>0</v>
      </c>
      <c r="AO555" t="n">
        <v>0</v>
      </c>
      <c r="AP555" t="inlineStr">
        <is>
          <t>No</t>
        </is>
      </c>
      <c r="AQ555" t="inlineStr">
        <is>
          <t>No</t>
        </is>
      </c>
      <c r="AS555">
        <f>HYPERLINK("https://creighton-primo.hosted.exlibrisgroup.com/primo-explore/search?tab=default_tab&amp;search_scope=EVERYTHING&amp;vid=01CRU&amp;lang=en_US&amp;offset=0&amp;query=any,contains,991003628329702656","Catalog Record")</f>
        <v/>
      </c>
      <c r="AT555">
        <f>HYPERLINK("http://www.worldcat.org/oclc/281531","WorldCat Record")</f>
        <v/>
      </c>
      <c r="AU555" t="inlineStr">
        <is>
          <t>4915160356:eng</t>
        </is>
      </c>
      <c r="AV555" t="inlineStr">
        <is>
          <t>281531</t>
        </is>
      </c>
      <c r="AW555" t="inlineStr">
        <is>
          <t>991003628329702656</t>
        </is>
      </c>
      <c r="AX555" t="inlineStr">
        <is>
          <t>991003628329702656</t>
        </is>
      </c>
      <c r="AY555" t="inlineStr">
        <is>
          <t>2264804130002656</t>
        </is>
      </c>
      <c r="AZ555" t="inlineStr">
        <is>
          <t>BOOK</t>
        </is>
      </c>
      <c r="BB555" t="inlineStr">
        <is>
          <t>9780802220806</t>
        </is>
      </c>
      <c r="BC555" t="inlineStr">
        <is>
          <t>32285004391768</t>
        </is>
      </c>
      <c r="BD555" t="inlineStr">
        <is>
          <t>893717906</t>
        </is>
      </c>
    </row>
    <row r="556">
      <c r="A556" t="inlineStr">
        <is>
          <t>No</t>
        </is>
      </c>
      <c r="B556" t="inlineStr">
        <is>
          <t>PJ7826.I2 A24 1962</t>
        </is>
      </c>
      <c r="C556" t="inlineStr">
        <is>
          <t>0                      PJ 7826000I  2                  A  24          1962</t>
        </is>
      </c>
      <c r="D556" t="inlineStr">
        <is>
          <t>Spiritual sayings of Kahlil Gibran / translated from the Arabic and edited by Anthony Rizcallah Ferris.</t>
        </is>
      </c>
      <c r="F556" t="inlineStr">
        <is>
          <t>No</t>
        </is>
      </c>
      <c r="G556" t="inlineStr">
        <is>
          <t>1</t>
        </is>
      </c>
      <c r="H556" t="inlineStr">
        <is>
          <t>No</t>
        </is>
      </c>
      <c r="I556" t="inlineStr">
        <is>
          <t>No</t>
        </is>
      </c>
      <c r="J556" t="inlineStr">
        <is>
          <t>0</t>
        </is>
      </c>
      <c r="K556" t="inlineStr">
        <is>
          <t>Gibran, Kahlil, 1883-1931.</t>
        </is>
      </c>
      <c r="L556" t="inlineStr">
        <is>
          <t>New York : Citadel Press, [1962]</t>
        </is>
      </c>
      <c r="M556" t="inlineStr">
        <is>
          <t>1962</t>
        </is>
      </c>
      <c r="N556" t="inlineStr">
        <is>
          <t>[1st ed.]</t>
        </is>
      </c>
      <c r="O556" t="inlineStr">
        <is>
          <t>eng</t>
        </is>
      </c>
      <c r="P556" t="inlineStr">
        <is>
          <t>nyu</t>
        </is>
      </c>
      <c r="R556" t="inlineStr">
        <is>
          <t xml:space="preserve">PJ </t>
        </is>
      </c>
      <c r="S556" t="n">
        <v>2</v>
      </c>
      <c r="T556" t="n">
        <v>2</v>
      </c>
      <c r="U556" t="inlineStr">
        <is>
          <t>2001-09-19</t>
        </is>
      </c>
      <c r="V556" t="inlineStr">
        <is>
          <t>2001-09-19</t>
        </is>
      </c>
      <c r="W556" t="inlineStr">
        <is>
          <t>2001-09-18</t>
        </is>
      </c>
      <c r="X556" t="inlineStr">
        <is>
          <t>2001-09-18</t>
        </is>
      </c>
      <c r="Y556" t="n">
        <v>694</v>
      </c>
      <c r="Z556" t="n">
        <v>667</v>
      </c>
      <c r="AA556" t="n">
        <v>679</v>
      </c>
      <c r="AB556" t="n">
        <v>7</v>
      </c>
      <c r="AC556" t="n">
        <v>7</v>
      </c>
      <c r="AD556" t="n">
        <v>16</v>
      </c>
      <c r="AE556" t="n">
        <v>16</v>
      </c>
      <c r="AF556" t="n">
        <v>8</v>
      </c>
      <c r="AG556" t="n">
        <v>8</v>
      </c>
      <c r="AH556" t="n">
        <v>3</v>
      </c>
      <c r="AI556" t="n">
        <v>3</v>
      </c>
      <c r="AJ556" t="n">
        <v>7</v>
      </c>
      <c r="AK556" t="n">
        <v>7</v>
      </c>
      <c r="AL556" t="n">
        <v>1</v>
      </c>
      <c r="AM556" t="n">
        <v>1</v>
      </c>
      <c r="AN556" t="n">
        <v>0</v>
      </c>
      <c r="AO556" t="n">
        <v>0</v>
      </c>
      <c r="AP556" t="inlineStr">
        <is>
          <t>No</t>
        </is>
      </c>
      <c r="AQ556" t="inlineStr">
        <is>
          <t>No</t>
        </is>
      </c>
      <c r="AS556">
        <f>HYPERLINK("https://creighton-primo.hosted.exlibrisgroup.com/primo-explore/search?tab=default_tab&amp;search_scope=EVERYTHING&amp;vid=01CRU&amp;lang=en_US&amp;offset=0&amp;query=any,contains,991003626319702656","Catalog Record")</f>
        <v/>
      </c>
      <c r="AT556">
        <f>HYPERLINK("http://www.worldcat.org/oclc/5666628","WorldCat Record")</f>
        <v/>
      </c>
      <c r="AU556" t="inlineStr">
        <is>
          <t>2908692100:eng</t>
        </is>
      </c>
      <c r="AV556" t="inlineStr">
        <is>
          <t>5666628</t>
        </is>
      </c>
      <c r="AW556" t="inlineStr">
        <is>
          <t>991003626319702656</t>
        </is>
      </c>
      <c r="AX556" t="inlineStr">
        <is>
          <t>991003626319702656</t>
        </is>
      </c>
      <c r="AY556" t="inlineStr">
        <is>
          <t>2263232210002656</t>
        </is>
      </c>
      <c r="AZ556" t="inlineStr">
        <is>
          <t>BOOK</t>
        </is>
      </c>
      <c r="BC556" t="inlineStr">
        <is>
          <t>32285004392063</t>
        </is>
      </c>
      <c r="BD556" t="inlineStr">
        <is>
          <t>893234373</t>
        </is>
      </c>
    </row>
    <row r="557">
      <c r="A557" t="inlineStr">
        <is>
          <t>No</t>
        </is>
      </c>
      <c r="B557" t="inlineStr">
        <is>
          <t>PJ7826.I2 A27 1966</t>
        </is>
      </c>
      <c r="C557" t="inlineStr">
        <is>
          <t>0                      PJ 7826000I  2                  A  27          1966</t>
        </is>
      </c>
      <c r="D557" t="inlineStr">
        <is>
          <t>The wisdom of Gibran : aphorisms and maxims / edited by Joseph Sheban.</t>
        </is>
      </c>
      <c r="F557" t="inlineStr">
        <is>
          <t>No</t>
        </is>
      </c>
      <c r="G557" t="inlineStr">
        <is>
          <t>1</t>
        </is>
      </c>
      <c r="H557" t="inlineStr">
        <is>
          <t>No</t>
        </is>
      </c>
      <c r="I557" t="inlineStr">
        <is>
          <t>No</t>
        </is>
      </c>
      <c r="J557" t="inlineStr">
        <is>
          <t>0</t>
        </is>
      </c>
      <c r="K557" t="inlineStr">
        <is>
          <t>Gibran, Kahlil, 1883-1931.</t>
        </is>
      </c>
      <c r="L557" t="inlineStr">
        <is>
          <t>New York : Philosophical Library, 1966.</t>
        </is>
      </c>
      <c r="M557" t="inlineStr">
        <is>
          <t>1966</t>
        </is>
      </c>
      <c r="O557" t="inlineStr">
        <is>
          <t>eng</t>
        </is>
      </c>
      <c r="P557" t="inlineStr">
        <is>
          <t>nyu</t>
        </is>
      </c>
      <c r="R557" t="inlineStr">
        <is>
          <t xml:space="preserve">PJ </t>
        </is>
      </c>
      <c r="S557" t="n">
        <v>2</v>
      </c>
      <c r="T557" t="n">
        <v>2</v>
      </c>
      <c r="U557" t="inlineStr">
        <is>
          <t>2004-09-02</t>
        </is>
      </c>
      <c r="V557" t="inlineStr">
        <is>
          <t>2004-09-02</t>
        </is>
      </c>
      <c r="W557" t="inlineStr">
        <is>
          <t>2001-09-18</t>
        </is>
      </c>
      <c r="X557" t="inlineStr">
        <is>
          <t>2001-09-18</t>
        </is>
      </c>
      <c r="Y557" t="n">
        <v>634</v>
      </c>
      <c r="Z557" t="n">
        <v>606</v>
      </c>
      <c r="AA557" t="n">
        <v>684</v>
      </c>
      <c r="AB557" t="n">
        <v>7</v>
      </c>
      <c r="AC557" t="n">
        <v>9</v>
      </c>
      <c r="AD557" t="n">
        <v>9</v>
      </c>
      <c r="AE557" t="n">
        <v>12</v>
      </c>
      <c r="AF557" t="n">
        <v>3</v>
      </c>
      <c r="AG557" t="n">
        <v>4</v>
      </c>
      <c r="AH557" t="n">
        <v>3</v>
      </c>
      <c r="AI557" t="n">
        <v>4</v>
      </c>
      <c r="AJ557" t="n">
        <v>4</v>
      </c>
      <c r="AK557" t="n">
        <v>4</v>
      </c>
      <c r="AL557" t="n">
        <v>1</v>
      </c>
      <c r="AM557" t="n">
        <v>3</v>
      </c>
      <c r="AN557" t="n">
        <v>0</v>
      </c>
      <c r="AO557" t="n">
        <v>0</v>
      </c>
      <c r="AP557" t="inlineStr">
        <is>
          <t>No</t>
        </is>
      </c>
      <c r="AQ557" t="inlineStr">
        <is>
          <t>No</t>
        </is>
      </c>
      <c r="AS557">
        <f>HYPERLINK("https://creighton-primo.hosted.exlibrisgroup.com/primo-explore/search?tab=default_tab&amp;search_scope=EVERYTHING&amp;vid=01CRU&amp;lang=en_US&amp;offset=0&amp;query=any,contains,991003626239702656","Catalog Record")</f>
        <v/>
      </c>
      <c r="AT557">
        <f>HYPERLINK("http://www.worldcat.org/oclc/176504","WorldCat Record")</f>
        <v/>
      </c>
      <c r="AU557" t="inlineStr">
        <is>
          <t>1311448:eng</t>
        </is>
      </c>
      <c r="AV557" t="inlineStr">
        <is>
          <t>176504</t>
        </is>
      </c>
      <c r="AW557" t="inlineStr">
        <is>
          <t>991003626239702656</t>
        </is>
      </c>
      <c r="AX557" t="inlineStr">
        <is>
          <t>991003626239702656</t>
        </is>
      </c>
      <c r="AY557" t="inlineStr">
        <is>
          <t>2267884890002656</t>
        </is>
      </c>
      <c r="AZ557" t="inlineStr">
        <is>
          <t>BOOK</t>
        </is>
      </c>
      <c r="BC557" t="inlineStr">
        <is>
          <t>32285004392071</t>
        </is>
      </c>
      <c r="BD557" t="inlineStr">
        <is>
          <t>893531376</t>
        </is>
      </c>
    </row>
    <row r="558">
      <c r="A558" t="inlineStr">
        <is>
          <t>No</t>
        </is>
      </c>
      <c r="B558" t="inlineStr">
        <is>
          <t>PJ7826.I2 M33 1958b</t>
        </is>
      </c>
      <c r="C558" t="inlineStr">
        <is>
          <t>0                      PJ 7826000I  2                  M  33          1958b</t>
        </is>
      </c>
      <c r="D558" t="inlineStr">
        <is>
          <t>The procession / Kahlil Gibran ; edited, translated, and with a biographical sketch by George Kheirallah.</t>
        </is>
      </c>
      <c r="F558" t="inlineStr">
        <is>
          <t>No</t>
        </is>
      </c>
      <c r="G558" t="inlineStr">
        <is>
          <t>1</t>
        </is>
      </c>
      <c r="H558" t="inlineStr">
        <is>
          <t>No</t>
        </is>
      </c>
      <c r="I558" t="inlineStr">
        <is>
          <t>No</t>
        </is>
      </c>
      <c r="J558" t="inlineStr">
        <is>
          <t>0</t>
        </is>
      </c>
      <c r="K558" t="inlineStr">
        <is>
          <t>Gibran, Kahlil, 1883-1931.</t>
        </is>
      </c>
      <c r="L558" t="inlineStr">
        <is>
          <t>New York : Wisdom Library, 1958.</t>
        </is>
      </c>
      <c r="M558" t="inlineStr">
        <is>
          <t>1958</t>
        </is>
      </c>
      <c r="O558" t="inlineStr">
        <is>
          <t>eng</t>
        </is>
      </c>
      <c r="P558" t="inlineStr">
        <is>
          <t xml:space="preserve">xx </t>
        </is>
      </c>
      <c r="R558" t="inlineStr">
        <is>
          <t xml:space="preserve">PJ </t>
        </is>
      </c>
      <c r="S558" t="n">
        <v>7</v>
      </c>
      <c r="T558" t="n">
        <v>7</v>
      </c>
      <c r="U558" t="inlineStr">
        <is>
          <t>1996-10-10</t>
        </is>
      </c>
      <c r="V558" t="inlineStr">
        <is>
          <t>1996-10-10</t>
        </is>
      </c>
      <c r="W558" t="inlineStr">
        <is>
          <t>1994-06-08</t>
        </is>
      </c>
      <c r="X558" t="inlineStr">
        <is>
          <t>1994-06-08</t>
        </is>
      </c>
      <c r="Y558" t="n">
        <v>110</v>
      </c>
      <c r="Z558" t="n">
        <v>106</v>
      </c>
      <c r="AA558" t="n">
        <v>1037</v>
      </c>
      <c r="AB558" t="n">
        <v>1</v>
      </c>
      <c r="AC558" t="n">
        <v>10</v>
      </c>
      <c r="AD558" t="n">
        <v>2</v>
      </c>
      <c r="AE558" t="n">
        <v>26</v>
      </c>
      <c r="AF558" t="n">
        <v>1</v>
      </c>
      <c r="AG558" t="n">
        <v>10</v>
      </c>
      <c r="AH558" t="n">
        <v>0</v>
      </c>
      <c r="AI558" t="n">
        <v>6</v>
      </c>
      <c r="AJ558" t="n">
        <v>1</v>
      </c>
      <c r="AK558" t="n">
        <v>12</v>
      </c>
      <c r="AL558" t="n">
        <v>0</v>
      </c>
      <c r="AM558" t="n">
        <v>5</v>
      </c>
      <c r="AN558" t="n">
        <v>0</v>
      </c>
      <c r="AO558" t="n">
        <v>0</v>
      </c>
      <c r="AP558" t="inlineStr">
        <is>
          <t>No</t>
        </is>
      </c>
      <c r="AQ558" t="inlineStr">
        <is>
          <t>No</t>
        </is>
      </c>
      <c r="AS558">
        <f>HYPERLINK("https://creighton-primo.hosted.exlibrisgroup.com/primo-explore/search?tab=default_tab&amp;search_scope=EVERYTHING&amp;vid=01CRU&amp;lang=en_US&amp;offset=0&amp;query=any,contains,991003942869702656","Catalog Record")</f>
        <v/>
      </c>
      <c r="AT558">
        <f>HYPERLINK("http://www.worldcat.org/oclc/1937395","WorldCat Record")</f>
        <v/>
      </c>
      <c r="AU558" t="inlineStr">
        <is>
          <t>2792818783:eng</t>
        </is>
      </c>
      <c r="AV558" t="inlineStr">
        <is>
          <t>1937395</t>
        </is>
      </c>
      <c r="AW558" t="inlineStr">
        <is>
          <t>991003942869702656</t>
        </is>
      </c>
      <c r="AX558" t="inlineStr">
        <is>
          <t>991003942869702656</t>
        </is>
      </c>
      <c r="AY558" t="inlineStr">
        <is>
          <t>2258432200002656</t>
        </is>
      </c>
      <c r="AZ558" t="inlineStr">
        <is>
          <t>BOOK</t>
        </is>
      </c>
      <c r="BC558" t="inlineStr">
        <is>
          <t>32285001916104</t>
        </is>
      </c>
      <c r="BD558" t="inlineStr">
        <is>
          <t>893337155</t>
        </is>
      </c>
    </row>
    <row r="559">
      <c r="A559" t="inlineStr">
        <is>
          <t>No</t>
        </is>
      </c>
      <c r="B559" t="inlineStr">
        <is>
          <t>PJ7826.I2 V6 1958</t>
        </is>
      </c>
      <c r="C559" t="inlineStr">
        <is>
          <t>0                      PJ 7826000I  2                  V  6           1958</t>
        </is>
      </c>
      <c r="D559" t="inlineStr">
        <is>
          <t>The voice of the Master / Kahlil Gibran ; translated from the Arabic by Anthony R. Ferris.</t>
        </is>
      </c>
      <c r="F559" t="inlineStr">
        <is>
          <t>No</t>
        </is>
      </c>
      <c r="G559" t="inlineStr">
        <is>
          <t>1</t>
        </is>
      </c>
      <c r="H559" t="inlineStr">
        <is>
          <t>No</t>
        </is>
      </c>
      <c r="I559" t="inlineStr">
        <is>
          <t>No</t>
        </is>
      </c>
      <c r="J559" t="inlineStr">
        <is>
          <t>0</t>
        </is>
      </c>
      <c r="K559" t="inlineStr">
        <is>
          <t>Gibran, Kahlil, 1883-1931.</t>
        </is>
      </c>
      <c r="L559" t="inlineStr">
        <is>
          <t>New York : Citadel Press, [1958]</t>
        </is>
      </c>
      <c r="M559" t="inlineStr">
        <is>
          <t>1958</t>
        </is>
      </c>
      <c r="O559" t="inlineStr">
        <is>
          <t>eng</t>
        </is>
      </c>
      <c r="P559" t="inlineStr">
        <is>
          <t>nyu</t>
        </is>
      </c>
      <c r="R559" t="inlineStr">
        <is>
          <t xml:space="preserve">PJ </t>
        </is>
      </c>
      <c r="S559" t="n">
        <v>1</v>
      </c>
      <c r="T559" t="n">
        <v>1</v>
      </c>
      <c r="U559" t="inlineStr">
        <is>
          <t>2001-09-19</t>
        </is>
      </c>
      <c r="V559" t="inlineStr">
        <is>
          <t>2001-09-19</t>
        </is>
      </c>
      <c r="W559" t="inlineStr">
        <is>
          <t>2001-09-18</t>
        </is>
      </c>
      <c r="X559" t="inlineStr">
        <is>
          <t>2001-09-18</t>
        </is>
      </c>
      <c r="Y559" t="n">
        <v>793</v>
      </c>
      <c r="Z559" t="n">
        <v>756</v>
      </c>
      <c r="AA559" t="n">
        <v>984</v>
      </c>
      <c r="AB559" t="n">
        <v>5</v>
      </c>
      <c r="AC559" t="n">
        <v>8</v>
      </c>
      <c r="AD559" t="n">
        <v>16</v>
      </c>
      <c r="AE559" t="n">
        <v>21</v>
      </c>
      <c r="AF559" t="n">
        <v>9</v>
      </c>
      <c r="AG559" t="n">
        <v>11</v>
      </c>
      <c r="AH559" t="n">
        <v>2</v>
      </c>
      <c r="AI559" t="n">
        <v>3</v>
      </c>
      <c r="AJ559" t="n">
        <v>9</v>
      </c>
      <c r="AK559" t="n">
        <v>11</v>
      </c>
      <c r="AL559" t="n">
        <v>1</v>
      </c>
      <c r="AM559" t="n">
        <v>2</v>
      </c>
      <c r="AN559" t="n">
        <v>0</v>
      </c>
      <c r="AO559" t="n">
        <v>0</v>
      </c>
      <c r="AP559" t="inlineStr">
        <is>
          <t>No</t>
        </is>
      </c>
      <c r="AQ559" t="inlineStr">
        <is>
          <t>No</t>
        </is>
      </c>
      <c r="AS559">
        <f>HYPERLINK("https://creighton-primo.hosted.exlibrisgroup.com/primo-explore/search?tab=default_tab&amp;search_scope=EVERYTHING&amp;vid=01CRU&amp;lang=en_US&amp;offset=0&amp;query=any,contains,991003626349702656","Catalog Record")</f>
        <v/>
      </c>
      <c r="AT559">
        <f>HYPERLINK("http://www.worldcat.org/oclc/1081499","WorldCat Record")</f>
        <v/>
      </c>
      <c r="AU559" t="inlineStr">
        <is>
          <t>552029993:eng</t>
        </is>
      </c>
      <c r="AV559" t="inlineStr">
        <is>
          <t>1081499</t>
        </is>
      </c>
      <c r="AW559" t="inlineStr">
        <is>
          <t>991003626349702656</t>
        </is>
      </c>
      <c r="AX559" t="inlineStr">
        <is>
          <t>991003626349702656</t>
        </is>
      </c>
      <c r="AY559" t="inlineStr">
        <is>
          <t>2266674320002656</t>
        </is>
      </c>
      <c r="AZ559" t="inlineStr">
        <is>
          <t>BOOK</t>
        </is>
      </c>
      <c r="BC559" t="inlineStr">
        <is>
          <t>32285004392055</t>
        </is>
      </c>
      <c r="BD559" t="inlineStr">
        <is>
          <t>893900190</t>
        </is>
      </c>
    </row>
    <row r="560">
      <c r="A560" t="inlineStr">
        <is>
          <t>No</t>
        </is>
      </c>
      <c r="B560" t="inlineStr">
        <is>
          <t>PJ7826.I2 Z54 1969</t>
        </is>
      </c>
      <c r="C560" t="inlineStr">
        <is>
          <t>0                      PJ 7826000I  2                  Z  54          1969</t>
        </is>
      </c>
      <c r="D560" t="inlineStr">
        <is>
          <t>Kahlil Gibran : a self portrait / translated from the Arabic &amp; edited by Anthony R. Ferris.</t>
        </is>
      </c>
      <c r="F560" t="inlineStr">
        <is>
          <t>No</t>
        </is>
      </c>
      <c r="G560" t="inlineStr">
        <is>
          <t>1</t>
        </is>
      </c>
      <c r="H560" t="inlineStr">
        <is>
          <t>No</t>
        </is>
      </c>
      <c r="I560" t="inlineStr">
        <is>
          <t>No</t>
        </is>
      </c>
      <c r="J560" t="inlineStr">
        <is>
          <t>0</t>
        </is>
      </c>
      <c r="K560" t="inlineStr">
        <is>
          <t>Gibran, Kahlil, 1883-1931.</t>
        </is>
      </c>
      <c r="L560" t="inlineStr">
        <is>
          <t>New York : Citadel Press, 1969, c1959.</t>
        </is>
      </c>
      <c r="M560" t="inlineStr">
        <is>
          <t>1969</t>
        </is>
      </c>
      <c r="N560" t="inlineStr">
        <is>
          <t>3rd paperbound ed.</t>
        </is>
      </c>
      <c r="O560" t="inlineStr">
        <is>
          <t>eng</t>
        </is>
      </c>
      <c r="P560" t="inlineStr">
        <is>
          <t>nyu</t>
        </is>
      </c>
      <c r="R560" t="inlineStr">
        <is>
          <t xml:space="preserve">PJ </t>
        </is>
      </c>
      <c r="S560" t="n">
        <v>1</v>
      </c>
      <c r="T560" t="n">
        <v>1</v>
      </c>
      <c r="U560" t="inlineStr">
        <is>
          <t>2001-09-19</t>
        </is>
      </c>
      <c r="V560" t="inlineStr">
        <is>
          <t>2001-09-19</t>
        </is>
      </c>
      <c r="W560" t="inlineStr">
        <is>
          <t>2001-09-18</t>
        </is>
      </c>
      <c r="X560" t="inlineStr">
        <is>
          <t>2001-09-18</t>
        </is>
      </c>
      <c r="Y560" t="n">
        <v>126</v>
      </c>
      <c r="Z560" t="n">
        <v>120</v>
      </c>
      <c r="AA560" t="n">
        <v>1070</v>
      </c>
      <c r="AB560" t="n">
        <v>2</v>
      </c>
      <c r="AC560" t="n">
        <v>7</v>
      </c>
      <c r="AD560" t="n">
        <v>1</v>
      </c>
      <c r="AE560" t="n">
        <v>21</v>
      </c>
      <c r="AF560" t="n">
        <v>1</v>
      </c>
      <c r="AG560" t="n">
        <v>10</v>
      </c>
      <c r="AH560" t="n">
        <v>0</v>
      </c>
      <c r="AI560" t="n">
        <v>5</v>
      </c>
      <c r="AJ560" t="n">
        <v>1</v>
      </c>
      <c r="AK560" t="n">
        <v>9</v>
      </c>
      <c r="AL560" t="n">
        <v>0</v>
      </c>
      <c r="AM560" t="n">
        <v>2</v>
      </c>
      <c r="AN560" t="n">
        <v>0</v>
      </c>
      <c r="AO560" t="n">
        <v>0</v>
      </c>
      <c r="AP560" t="inlineStr">
        <is>
          <t>No</t>
        </is>
      </c>
      <c r="AQ560" t="inlineStr">
        <is>
          <t>No</t>
        </is>
      </c>
      <c r="AS560">
        <f>HYPERLINK("https://creighton-primo.hosted.exlibrisgroup.com/primo-explore/search?tab=default_tab&amp;search_scope=EVERYTHING&amp;vid=01CRU&amp;lang=en_US&amp;offset=0&amp;query=any,contains,991003626269702656","Catalog Record")</f>
        <v/>
      </c>
      <c r="AT560">
        <f>HYPERLINK("http://www.worldcat.org/oclc/5285757","WorldCat Record")</f>
        <v/>
      </c>
      <c r="AU560" t="inlineStr">
        <is>
          <t>1868129:eng</t>
        </is>
      </c>
      <c r="AV560" t="inlineStr">
        <is>
          <t>5285757</t>
        </is>
      </c>
      <c r="AW560" t="inlineStr">
        <is>
          <t>991003626269702656</t>
        </is>
      </c>
      <c r="AX560" t="inlineStr">
        <is>
          <t>991003626269702656</t>
        </is>
      </c>
      <c r="AY560" t="inlineStr">
        <is>
          <t>2272146190002656</t>
        </is>
      </c>
      <c r="AZ560" t="inlineStr">
        <is>
          <t>BOOK</t>
        </is>
      </c>
      <c r="BC560" t="inlineStr">
        <is>
          <t>32285004392105</t>
        </is>
      </c>
      <c r="BD560" t="inlineStr">
        <is>
          <t>893705434</t>
        </is>
      </c>
    </row>
    <row r="561">
      <c r="A561" t="inlineStr">
        <is>
          <t>No</t>
        </is>
      </c>
      <c r="B561" t="inlineStr">
        <is>
          <t>PJ7826.I2 Z615 1998</t>
        </is>
      </c>
      <c r="C561" t="inlineStr">
        <is>
          <t>0                      PJ 7826000I  2                  Z  615         1998</t>
        </is>
      </c>
      <c r="D561" t="inlineStr">
        <is>
          <t>Kahlil Gibran, his life and world / Jean Gibran and Kahlil Gibran ; foreword by Salma Khadra Jayyusi.</t>
        </is>
      </c>
      <c r="F561" t="inlineStr">
        <is>
          <t>No</t>
        </is>
      </c>
      <c r="G561" t="inlineStr">
        <is>
          <t>1</t>
        </is>
      </c>
      <c r="H561" t="inlineStr">
        <is>
          <t>No</t>
        </is>
      </c>
      <c r="I561" t="inlineStr">
        <is>
          <t>No</t>
        </is>
      </c>
      <c r="J561" t="inlineStr">
        <is>
          <t>0</t>
        </is>
      </c>
      <c r="K561" t="inlineStr">
        <is>
          <t>Gibran, Jean.</t>
        </is>
      </c>
      <c r="L561" t="inlineStr">
        <is>
          <t>New York : Interlink Books, 1998.</t>
        </is>
      </c>
      <c r="M561" t="inlineStr">
        <is>
          <t>1998</t>
        </is>
      </c>
      <c r="N561" t="inlineStr">
        <is>
          <t>[Rev. and updated ed.]</t>
        </is>
      </c>
      <c r="O561" t="inlineStr">
        <is>
          <t>eng</t>
        </is>
      </c>
      <c r="P561" t="inlineStr">
        <is>
          <t>nyu</t>
        </is>
      </c>
      <c r="R561" t="inlineStr">
        <is>
          <t xml:space="preserve">PJ </t>
        </is>
      </c>
      <c r="S561" t="n">
        <v>2</v>
      </c>
      <c r="T561" t="n">
        <v>2</v>
      </c>
      <c r="U561" t="inlineStr">
        <is>
          <t>2009-01-19</t>
        </is>
      </c>
      <c r="V561" t="inlineStr">
        <is>
          <t>2009-01-19</t>
        </is>
      </c>
      <c r="W561" t="inlineStr">
        <is>
          <t>2009-01-19</t>
        </is>
      </c>
      <c r="X561" t="inlineStr">
        <is>
          <t>2009-01-19</t>
        </is>
      </c>
      <c r="Y561" t="n">
        <v>118</v>
      </c>
      <c r="Z561" t="n">
        <v>104</v>
      </c>
      <c r="AA561" t="n">
        <v>1349</v>
      </c>
      <c r="AB561" t="n">
        <v>1</v>
      </c>
      <c r="AC561" t="n">
        <v>9</v>
      </c>
      <c r="AD561" t="n">
        <v>2</v>
      </c>
      <c r="AE561" t="n">
        <v>27</v>
      </c>
      <c r="AF561" t="n">
        <v>0</v>
      </c>
      <c r="AG561" t="n">
        <v>11</v>
      </c>
      <c r="AH561" t="n">
        <v>2</v>
      </c>
      <c r="AI561" t="n">
        <v>6</v>
      </c>
      <c r="AJ561" t="n">
        <v>1</v>
      </c>
      <c r="AK561" t="n">
        <v>10</v>
      </c>
      <c r="AL561" t="n">
        <v>0</v>
      </c>
      <c r="AM561" t="n">
        <v>6</v>
      </c>
      <c r="AN561" t="n">
        <v>0</v>
      </c>
      <c r="AO561" t="n">
        <v>0</v>
      </c>
      <c r="AP561" t="inlineStr">
        <is>
          <t>No</t>
        </is>
      </c>
      <c r="AQ561" t="inlineStr">
        <is>
          <t>Yes</t>
        </is>
      </c>
      <c r="AR561">
        <f>HYPERLINK("http://catalog.hathitrust.org/Record/004569547","HathiTrust Record")</f>
        <v/>
      </c>
      <c r="AS561">
        <f>HYPERLINK("https://creighton-primo.hosted.exlibrisgroup.com/primo-explore/search?tab=default_tab&amp;search_scope=EVERYTHING&amp;vid=01CRU&amp;lang=en_US&amp;offset=0&amp;query=any,contains,991005290879702656","Catalog Record")</f>
        <v/>
      </c>
      <c r="AT561">
        <f>HYPERLINK("http://www.worldcat.org/oclc/39485979","WorldCat Record")</f>
        <v/>
      </c>
      <c r="AU561" t="inlineStr">
        <is>
          <t>498465:eng</t>
        </is>
      </c>
      <c r="AV561" t="inlineStr">
        <is>
          <t>39485979</t>
        </is>
      </c>
      <c r="AW561" t="inlineStr">
        <is>
          <t>991005290879702656</t>
        </is>
      </c>
      <c r="AX561" t="inlineStr">
        <is>
          <t>991005290879702656</t>
        </is>
      </c>
      <c r="AY561" t="inlineStr">
        <is>
          <t>2258926030002656</t>
        </is>
      </c>
      <c r="AZ561" t="inlineStr">
        <is>
          <t>BOOK</t>
        </is>
      </c>
      <c r="BB561" t="inlineStr">
        <is>
          <t>9781566562492</t>
        </is>
      </c>
      <c r="BC561" t="inlineStr">
        <is>
          <t>32285005479059</t>
        </is>
      </c>
      <c r="BD561" t="inlineStr">
        <is>
          <t>893707597</t>
        </is>
      </c>
    </row>
    <row r="562">
      <c r="A562" t="inlineStr">
        <is>
          <t>No</t>
        </is>
      </c>
      <c r="B562" t="inlineStr">
        <is>
          <t>PJ7838.D7 Z76 1981</t>
        </is>
      </c>
      <c r="C562" t="inlineStr">
        <is>
          <t>0                      PJ 7838000D  7                  Z  76          1981</t>
        </is>
      </c>
      <c r="D562" t="inlineStr">
        <is>
          <t>The short stories of Yūsuf Idrīs : a modern Egyptian author / by P.M. Kurpershoek.</t>
        </is>
      </c>
      <c r="F562" t="inlineStr">
        <is>
          <t>No</t>
        </is>
      </c>
      <c r="G562" t="inlineStr">
        <is>
          <t>1</t>
        </is>
      </c>
      <c r="H562" t="inlineStr">
        <is>
          <t>No</t>
        </is>
      </c>
      <c r="I562" t="inlineStr">
        <is>
          <t>No</t>
        </is>
      </c>
      <c r="J562" t="inlineStr">
        <is>
          <t>0</t>
        </is>
      </c>
      <c r="K562" t="inlineStr">
        <is>
          <t>Kurpershoek, P. M.</t>
        </is>
      </c>
      <c r="L562" t="inlineStr">
        <is>
          <t>Leiden : Brill, 1981.</t>
        </is>
      </c>
      <c r="M562" t="inlineStr">
        <is>
          <t>1981</t>
        </is>
      </c>
      <c r="O562" t="inlineStr">
        <is>
          <t>eng</t>
        </is>
      </c>
      <c r="P562" t="inlineStr">
        <is>
          <t xml:space="preserve">ne </t>
        </is>
      </c>
      <c r="Q562" t="inlineStr">
        <is>
          <t>Studies in Arabic literature ; v. 7</t>
        </is>
      </c>
      <c r="R562" t="inlineStr">
        <is>
          <t xml:space="preserve">PJ </t>
        </is>
      </c>
      <c r="S562" t="n">
        <v>4</v>
      </c>
      <c r="T562" t="n">
        <v>4</v>
      </c>
      <c r="U562" t="inlineStr">
        <is>
          <t>2001-03-17</t>
        </is>
      </c>
      <c r="V562" t="inlineStr">
        <is>
          <t>2001-03-17</t>
        </is>
      </c>
      <c r="W562" t="inlineStr">
        <is>
          <t>1993-05-04</t>
        </is>
      </c>
      <c r="X562" t="inlineStr">
        <is>
          <t>1993-05-04</t>
        </is>
      </c>
      <c r="Y562" t="n">
        <v>127</v>
      </c>
      <c r="Z562" t="n">
        <v>78</v>
      </c>
      <c r="AA562" t="n">
        <v>79</v>
      </c>
      <c r="AB562" t="n">
        <v>2</v>
      </c>
      <c r="AC562" t="n">
        <v>2</v>
      </c>
      <c r="AD562" t="n">
        <v>3</v>
      </c>
      <c r="AE562" t="n">
        <v>3</v>
      </c>
      <c r="AF562" t="n">
        <v>0</v>
      </c>
      <c r="AG562" t="n">
        <v>0</v>
      </c>
      <c r="AH562" t="n">
        <v>1</v>
      </c>
      <c r="AI562" t="n">
        <v>1</v>
      </c>
      <c r="AJ562" t="n">
        <v>2</v>
      </c>
      <c r="AK562" t="n">
        <v>2</v>
      </c>
      <c r="AL562" t="n">
        <v>1</v>
      </c>
      <c r="AM562" t="n">
        <v>1</v>
      </c>
      <c r="AN562" t="n">
        <v>0</v>
      </c>
      <c r="AO562" t="n">
        <v>0</v>
      </c>
      <c r="AP562" t="inlineStr">
        <is>
          <t>No</t>
        </is>
      </c>
      <c r="AQ562" t="inlineStr">
        <is>
          <t>Yes</t>
        </is>
      </c>
      <c r="AR562">
        <f>HYPERLINK("http://catalog.hathitrust.org/Record/000828518","HathiTrust Record")</f>
        <v/>
      </c>
      <c r="AS562">
        <f>HYPERLINK("https://creighton-primo.hosted.exlibrisgroup.com/primo-explore/search?tab=default_tab&amp;search_scope=EVERYTHING&amp;vid=01CRU&amp;lang=en_US&amp;offset=0&amp;query=any,contains,991005120739702656","Catalog Record")</f>
        <v/>
      </c>
      <c r="AT562">
        <f>HYPERLINK("http://www.worldcat.org/oclc/7510282","WorldCat Record")</f>
        <v/>
      </c>
      <c r="AU562" t="inlineStr">
        <is>
          <t>633635:eng</t>
        </is>
      </c>
      <c r="AV562" t="inlineStr">
        <is>
          <t>7510282</t>
        </is>
      </c>
      <c r="AW562" t="inlineStr">
        <is>
          <t>991005120739702656</t>
        </is>
      </c>
      <c r="AX562" t="inlineStr">
        <is>
          <t>991005120739702656</t>
        </is>
      </c>
      <c r="AY562" t="inlineStr">
        <is>
          <t>2263806590002656</t>
        </is>
      </c>
      <c r="AZ562" t="inlineStr">
        <is>
          <t>BOOK</t>
        </is>
      </c>
      <c r="BB562" t="inlineStr">
        <is>
          <t>9789004062832</t>
        </is>
      </c>
      <c r="BC562" t="inlineStr">
        <is>
          <t>32285001671360</t>
        </is>
      </c>
      <c r="BD562" t="inlineStr">
        <is>
          <t>893230238</t>
        </is>
      </c>
    </row>
    <row r="563">
      <c r="A563" t="inlineStr">
        <is>
          <t>No</t>
        </is>
      </c>
      <c r="B563" t="inlineStr">
        <is>
          <t>PJ7846.A46 Z4813 1992</t>
        </is>
      </c>
      <c r="C563" t="inlineStr">
        <is>
          <t>0                      PJ 7846000A  46                 Z  4813        1992</t>
        </is>
      </c>
      <c r="D563" t="inlineStr">
        <is>
          <t>Midaq Alley / Naguib Mahfouz ; translated by Trevor Le Gassick.</t>
        </is>
      </c>
      <c r="F563" t="inlineStr">
        <is>
          <t>No</t>
        </is>
      </c>
      <c r="G563" t="inlineStr">
        <is>
          <t>1</t>
        </is>
      </c>
      <c r="H563" t="inlineStr">
        <is>
          <t>No</t>
        </is>
      </c>
      <c r="I563" t="inlineStr">
        <is>
          <t>No</t>
        </is>
      </c>
      <c r="J563" t="inlineStr">
        <is>
          <t>0</t>
        </is>
      </c>
      <c r="K563" t="inlineStr">
        <is>
          <t>Maḥfūẓ, Najīb, 1911-2006.</t>
        </is>
      </c>
      <c r="L563" t="inlineStr">
        <is>
          <t>New York : Anchor Books, 1992.</t>
        </is>
      </c>
      <c r="M563" t="inlineStr">
        <is>
          <t>1992</t>
        </is>
      </c>
      <c r="N563" t="inlineStr">
        <is>
          <t>1st Anchor Books ed.</t>
        </is>
      </c>
      <c r="O563" t="inlineStr">
        <is>
          <t>eng</t>
        </is>
      </c>
      <c r="P563" t="inlineStr">
        <is>
          <t>nyu</t>
        </is>
      </c>
      <c r="R563" t="inlineStr">
        <is>
          <t xml:space="preserve">PJ </t>
        </is>
      </c>
      <c r="S563" t="n">
        <v>3</v>
      </c>
      <c r="T563" t="n">
        <v>3</v>
      </c>
      <c r="U563" t="inlineStr">
        <is>
          <t>2007-11-09</t>
        </is>
      </c>
      <c r="V563" t="inlineStr">
        <is>
          <t>2007-11-09</t>
        </is>
      </c>
      <c r="W563" t="inlineStr">
        <is>
          <t>2003-07-31</t>
        </is>
      </c>
      <c r="X563" t="inlineStr">
        <is>
          <t>2003-07-31</t>
        </is>
      </c>
      <c r="Y563" t="n">
        <v>722</v>
      </c>
      <c r="Z563" t="n">
        <v>668</v>
      </c>
      <c r="AA563" t="n">
        <v>1347</v>
      </c>
      <c r="AB563" t="n">
        <v>5</v>
      </c>
      <c r="AC563" t="n">
        <v>10</v>
      </c>
      <c r="AD563" t="n">
        <v>18</v>
      </c>
      <c r="AE563" t="n">
        <v>42</v>
      </c>
      <c r="AF563" t="n">
        <v>5</v>
      </c>
      <c r="AG563" t="n">
        <v>16</v>
      </c>
      <c r="AH563" t="n">
        <v>3</v>
      </c>
      <c r="AI563" t="n">
        <v>7</v>
      </c>
      <c r="AJ563" t="n">
        <v>11</v>
      </c>
      <c r="AK563" t="n">
        <v>22</v>
      </c>
      <c r="AL563" t="n">
        <v>3</v>
      </c>
      <c r="AM563" t="n">
        <v>6</v>
      </c>
      <c r="AN563" t="n">
        <v>0</v>
      </c>
      <c r="AO563" t="n">
        <v>0</v>
      </c>
      <c r="AP563" t="inlineStr">
        <is>
          <t>No</t>
        </is>
      </c>
      <c r="AQ563" t="inlineStr">
        <is>
          <t>Yes</t>
        </is>
      </c>
      <c r="AR563">
        <f>HYPERLINK("http://catalog.hathitrust.org/Record/003068747","HathiTrust Record")</f>
        <v/>
      </c>
      <c r="AS563">
        <f>HYPERLINK("https://creighton-primo.hosted.exlibrisgroup.com/primo-explore/search?tab=default_tab&amp;search_scope=EVERYTHING&amp;vid=01CRU&amp;lang=en_US&amp;offset=0&amp;query=any,contains,991004075599702656","Catalog Record")</f>
        <v/>
      </c>
      <c r="AT563">
        <f>HYPERLINK("http://www.worldcat.org/oclc/24142528","WorldCat Record")</f>
        <v/>
      </c>
      <c r="AU563" t="inlineStr">
        <is>
          <t>1882049193:eng</t>
        </is>
      </c>
      <c r="AV563" t="inlineStr">
        <is>
          <t>24142528</t>
        </is>
      </c>
      <c r="AW563" t="inlineStr">
        <is>
          <t>991004075599702656</t>
        </is>
      </c>
      <c r="AX563" t="inlineStr">
        <is>
          <t>991004075599702656</t>
        </is>
      </c>
      <c r="AY563" t="inlineStr">
        <is>
          <t>2265796830002656</t>
        </is>
      </c>
      <c r="AZ563" t="inlineStr">
        <is>
          <t>BOOK</t>
        </is>
      </c>
      <c r="BB563" t="inlineStr">
        <is>
          <t>9780385264754</t>
        </is>
      </c>
      <c r="BC563" t="inlineStr">
        <is>
          <t>32285004758206</t>
        </is>
      </c>
      <c r="BD563" t="inlineStr">
        <is>
          <t>893318771</t>
        </is>
      </c>
    </row>
    <row r="564">
      <c r="A564" t="inlineStr">
        <is>
          <t>No</t>
        </is>
      </c>
      <c r="B564" t="inlineStr">
        <is>
          <t>PJ7864.A35 D39 1997b</t>
        </is>
      </c>
      <c r="C564" t="inlineStr">
        <is>
          <t>0                      PJ 7864000A  35                 D  39          1997b</t>
        </is>
      </c>
      <c r="D564" t="inlineStr">
        <is>
          <t>The days / Taha Hussein ; translated by E.H. Paxton, Hilary Wayment, Kenneth Cragg.</t>
        </is>
      </c>
      <c r="F564" t="inlineStr">
        <is>
          <t>No</t>
        </is>
      </c>
      <c r="G564" t="inlineStr">
        <is>
          <t>1</t>
        </is>
      </c>
      <c r="H564" t="inlineStr">
        <is>
          <t>No</t>
        </is>
      </c>
      <c r="I564" t="inlineStr">
        <is>
          <t>No</t>
        </is>
      </c>
      <c r="J564" t="inlineStr">
        <is>
          <t>0</t>
        </is>
      </c>
      <c r="K564" t="inlineStr">
        <is>
          <t>Ḥusayn, Ṭāhā, 1889-1973.</t>
        </is>
      </c>
      <c r="L564" t="inlineStr">
        <is>
          <t>Cairo : The American University of Cairo Press, 1997</t>
        </is>
      </c>
      <c r="M564" t="inlineStr">
        <is>
          <t>1997</t>
        </is>
      </c>
      <c r="O564" t="inlineStr">
        <is>
          <t>eng</t>
        </is>
      </c>
      <c r="P564" t="inlineStr">
        <is>
          <t xml:space="preserve">ua </t>
        </is>
      </c>
      <c r="R564" t="inlineStr">
        <is>
          <t xml:space="preserve">PJ </t>
        </is>
      </c>
      <c r="S564" t="n">
        <v>13</v>
      </c>
      <c r="T564" t="n">
        <v>13</v>
      </c>
      <c r="U564" t="inlineStr">
        <is>
          <t>2010-03-25</t>
        </is>
      </c>
      <c r="V564" t="inlineStr">
        <is>
          <t>2010-03-25</t>
        </is>
      </c>
      <c r="W564" t="inlineStr">
        <is>
          <t>2003-12-02</t>
        </is>
      </c>
      <c r="X564" t="inlineStr">
        <is>
          <t>2003-12-02</t>
        </is>
      </c>
      <c r="Y564" t="n">
        <v>44</v>
      </c>
      <c r="Z564" t="n">
        <v>36</v>
      </c>
      <c r="AA564" t="n">
        <v>47</v>
      </c>
      <c r="AB564" t="n">
        <v>1</v>
      </c>
      <c r="AC564" t="n">
        <v>1</v>
      </c>
      <c r="AD564" t="n">
        <v>2</v>
      </c>
      <c r="AE564" t="n">
        <v>2</v>
      </c>
      <c r="AF564" t="n">
        <v>1</v>
      </c>
      <c r="AG564" t="n">
        <v>1</v>
      </c>
      <c r="AH564" t="n">
        <v>1</v>
      </c>
      <c r="AI564" t="n">
        <v>1</v>
      </c>
      <c r="AJ564" t="n">
        <v>1</v>
      </c>
      <c r="AK564" t="n">
        <v>1</v>
      </c>
      <c r="AL564" t="n">
        <v>0</v>
      </c>
      <c r="AM564" t="n">
        <v>0</v>
      </c>
      <c r="AN564" t="n">
        <v>0</v>
      </c>
      <c r="AO564" t="n">
        <v>0</v>
      </c>
      <c r="AP564" t="inlineStr">
        <is>
          <t>No</t>
        </is>
      </c>
      <c r="AQ564" t="inlineStr">
        <is>
          <t>No</t>
        </is>
      </c>
      <c r="AS564">
        <f>HYPERLINK("https://creighton-primo.hosted.exlibrisgroup.com/primo-explore/search?tab=default_tab&amp;search_scope=EVERYTHING&amp;vid=01CRU&amp;lang=en_US&amp;offset=0&amp;query=any,contains,991003982299702656","Catalog Record")</f>
        <v/>
      </c>
      <c r="AT564">
        <f>HYPERLINK("http://www.worldcat.org/oclc/51616183","WorldCat Record")</f>
        <v/>
      </c>
      <c r="AU564" t="inlineStr">
        <is>
          <t>637526:fre</t>
        </is>
      </c>
      <c r="AV564" t="inlineStr">
        <is>
          <t>51616183</t>
        </is>
      </c>
      <c r="AW564" t="inlineStr">
        <is>
          <t>991003982299702656</t>
        </is>
      </c>
      <c r="AX564" t="inlineStr">
        <is>
          <t>991003982299702656</t>
        </is>
      </c>
      <c r="AY564" t="inlineStr">
        <is>
          <t>2264644420002656</t>
        </is>
      </c>
      <c r="AZ564" t="inlineStr">
        <is>
          <t>BOOK</t>
        </is>
      </c>
      <c r="BB564" t="inlineStr">
        <is>
          <t>9789774246357</t>
        </is>
      </c>
      <c r="BC564" t="inlineStr">
        <is>
          <t>32285004744669</t>
        </is>
      </c>
      <c r="BD564" t="inlineStr">
        <is>
          <t>893519123</t>
        </is>
      </c>
    </row>
    <row r="565">
      <c r="A565" t="inlineStr">
        <is>
          <t>No</t>
        </is>
      </c>
      <c r="B565" t="inlineStr">
        <is>
          <t>PJ7864.A35 Z513 1976</t>
        </is>
      </c>
      <c r="C565" t="inlineStr">
        <is>
          <t>0                      PJ 7864000A  35                 Z  513         1976</t>
        </is>
      </c>
      <c r="D565" t="inlineStr">
        <is>
          <t>A passage to France : the third volume of the autobiography of Ṭāhā Ḥusain / translated from the Arabic by Kenneth Cragg.</t>
        </is>
      </c>
      <c r="F565" t="inlineStr">
        <is>
          <t>No</t>
        </is>
      </c>
      <c r="G565" t="inlineStr">
        <is>
          <t>1</t>
        </is>
      </c>
      <c r="H565" t="inlineStr">
        <is>
          <t>No</t>
        </is>
      </c>
      <c r="I565" t="inlineStr">
        <is>
          <t>No</t>
        </is>
      </c>
      <c r="J565" t="inlineStr">
        <is>
          <t>0</t>
        </is>
      </c>
      <c r="K565" t="inlineStr">
        <is>
          <t>Ḥusayn, Ṭāhā, 1889-1973.</t>
        </is>
      </c>
      <c r="L565" t="inlineStr">
        <is>
          <t>Leiden : E. J. Brill, 1976.</t>
        </is>
      </c>
      <c r="M565" t="inlineStr">
        <is>
          <t>1976</t>
        </is>
      </c>
      <c r="O565" t="inlineStr">
        <is>
          <t>eng</t>
        </is>
      </c>
      <c r="P565" t="inlineStr">
        <is>
          <t xml:space="preserve">ne </t>
        </is>
      </c>
      <c r="Q565" t="inlineStr">
        <is>
          <t>Arabic translation series ; v. 4</t>
        </is>
      </c>
      <c r="R565" t="inlineStr">
        <is>
          <t xml:space="preserve">PJ </t>
        </is>
      </c>
      <c r="S565" t="n">
        <v>2</v>
      </c>
      <c r="T565" t="n">
        <v>2</v>
      </c>
      <c r="U565" t="inlineStr">
        <is>
          <t>2005-03-16</t>
        </is>
      </c>
      <c r="V565" t="inlineStr">
        <is>
          <t>2005-03-16</t>
        </is>
      </c>
      <c r="W565" t="inlineStr">
        <is>
          <t>1993-05-04</t>
        </is>
      </c>
      <c r="X565" t="inlineStr">
        <is>
          <t>1993-05-04</t>
        </is>
      </c>
      <c r="Y565" t="n">
        <v>114</v>
      </c>
      <c r="Z565" t="n">
        <v>74</v>
      </c>
      <c r="AA565" t="n">
        <v>75</v>
      </c>
      <c r="AB565" t="n">
        <v>1</v>
      </c>
      <c r="AC565" t="n">
        <v>1</v>
      </c>
      <c r="AD565" t="n">
        <v>3</v>
      </c>
      <c r="AE565" t="n">
        <v>3</v>
      </c>
      <c r="AF565" t="n">
        <v>1</v>
      </c>
      <c r="AG565" t="n">
        <v>1</v>
      </c>
      <c r="AH565" t="n">
        <v>1</v>
      </c>
      <c r="AI565" t="n">
        <v>1</v>
      </c>
      <c r="AJ565" t="n">
        <v>2</v>
      </c>
      <c r="AK565" t="n">
        <v>2</v>
      </c>
      <c r="AL565" t="n">
        <v>0</v>
      </c>
      <c r="AM565" t="n">
        <v>0</v>
      </c>
      <c r="AN565" t="n">
        <v>0</v>
      </c>
      <c r="AO565" t="n">
        <v>0</v>
      </c>
      <c r="AP565" t="inlineStr">
        <is>
          <t>No</t>
        </is>
      </c>
      <c r="AQ565" t="inlineStr">
        <is>
          <t>Yes</t>
        </is>
      </c>
      <c r="AR565">
        <f>HYPERLINK("http://catalog.hathitrust.org/Record/000348148","HathiTrust Record")</f>
        <v/>
      </c>
      <c r="AS565">
        <f>HYPERLINK("https://creighton-primo.hosted.exlibrisgroup.com/primo-explore/search?tab=default_tab&amp;search_scope=EVERYTHING&amp;vid=01CRU&amp;lang=en_US&amp;offset=0&amp;query=any,contains,991004255279702656","Catalog Record")</f>
        <v/>
      </c>
      <c r="AT565">
        <f>HYPERLINK("http://www.worldcat.org/oclc/2821553","WorldCat Record")</f>
        <v/>
      </c>
      <c r="AU565" t="inlineStr">
        <is>
          <t>6274441:eng</t>
        </is>
      </c>
      <c r="AV565" t="inlineStr">
        <is>
          <t>2821553</t>
        </is>
      </c>
      <c r="AW565" t="inlineStr">
        <is>
          <t>991004255279702656</t>
        </is>
      </c>
      <c r="AX565" t="inlineStr">
        <is>
          <t>991004255279702656</t>
        </is>
      </c>
      <c r="AY565" t="inlineStr">
        <is>
          <t>2263203680002656</t>
        </is>
      </c>
      <c r="AZ565" t="inlineStr">
        <is>
          <t>BOOK</t>
        </is>
      </c>
      <c r="BB565" t="inlineStr">
        <is>
          <t>9789004047266</t>
        </is>
      </c>
      <c r="BC565" t="inlineStr">
        <is>
          <t>32285001671402</t>
        </is>
      </c>
      <c r="BD565" t="inlineStr">
        <is>
          <t>893706161</t>
        </is>
      </c>
    </row>
    <row r="566">
      <c r="A566" t="inlineStr">
        <is>
          <t>No</t>
        </is>
      </c>
      <c r="B566" t="inlineStr">
        <is>
          <t>PJ8005.82.E5 A87 1990</t>
        </is>
      </c>
      <c r="C566" t="inlineStr">
        <is>
          <t>0                      PJ 8005820E  5                  A  87          1990</t>
        </is>
      </c>
      <c r="D566" t="inlineStr">
        <is>
          <t>Assassination of light : modern Saudi short stories / edited and translated by Abu Bakr Bagader and Ava Molnar Heinrichsdorff.</t>
        </is>
      </c>
      <c r="F566" t="inlineStr">
        <is>
          <t>No</t>
        </is>
      </c>
      <c r="G566" t="inlineStr">
        <is>
          <t>1</t>
        </is>
      </c>
      <c r="H566" t="inlineStr">
        <is>
          <t>No</t>
        </is>
      </c>
      <c r="I566" t="inlineStr">
        <is>
          <t>No</t>
        </is>
      </c>
      <c r="J566" t="inlineStr">
        <is>
          <t>0</t>
        </is>
      </c>
      <c r="L566" t="inlineStr">
        <is>
          <t>Washington, D.C. : Three Continents Press, 1990.</t>
        </is>
      </c>
      <c r="M566" t="inlineStr">
        <is>
          <t>1990</t>
        </is>
      </c>
      <c r="O566" t="inlineStr">
        <is>
          <t>eng</t>
        </is>
      </c>
      <c r="P566" t="inlineStr">
        <is>
          <t>dcu</t>
        </is>
      </c>
      <c r="R566" t="inlineStr">
        <is>
          <t xml:space="preserve">PJ </t>
        </is>
      </c>
      <c r="S566" t="n">
        <v>7</v>
      </c>
      <c r="T566" t="n">
        <v>7</v>
      </c>
      <c r="U566" t="inlineStr">
        <is>
          <t>1996-10-31</t>
        </is>
      </c>
      <c r="V566" t="inlineStr">
        <is>
          <t>1996-10-31</t>
        </is>
      </c>
      <c r="W566" t="inlineStr">
        <is>
          <t>1993-08-30</t>
        </is>
      </c>
      <c r="X566" t="inlineStr">
        <is>
          <t>1993-08-30</t>
        </is>
      </c>
      <c r="Y566" t="n">
        <v>186</v>
      </c>
      <c r="Z566" t="n">
        <v>151</v>
      </c>
      <c r="AA566" t="n">
        <v>158</v>
      </c>
      <c r="AB566" t="n">
        <v>2</v>
      </c>
      <c r="AC566" t="n">
        <v>2</v>
      </c>
      <c r="AD566" t="n">
        <v>7</v>
      </c>
      <c r="AE566" t="n">
        <v>7</v>
      </c>
      <c r="AF566" t="n">
        <v>1</v>
      </c>
      <c r="AG566" t="n">
        <v>1</v>
      </c>
      <c r="AH566" t="n">
        <v>3</v>
      </c>
      <c r="AI566" t="n">
        <v>3</v>
      </c>
      <c r="AJ566" t="n">
        <v>4</v>
      </c>
      <c r="AK566" t="n">
        <v>4</v>
      </c>
      <c r="AL566" t="n">
        <v>1</v>
      </c>
      <c r="AM566" t="n">
        <v>1</v>
      </c>
      <c r="AN566" t="n">
        <v>0</v>
      </c>
      <c r="AO566" t="n">
        <v>0</v>
      </c>
      <c r="AP566" t="inlineStr">
        <is>
          <t>No</t>
        </is>
      </c>
      <c r="AQ566" t="inlineStr">
        <is>
          <t>Yes</t>
        </is>
      </c>
      <c r="AR566">
        <f>HYPERLINK("http://catalog.hathitrust.org/Record/002469345","HathiTrust Record")</f>
        <v/>
      </c>
      <c r="AS566">
        <f>HYPERLINK("https://creighton-primo.hosted.exlibrisgroup.com/primo-explore/search?tab=default_tab&amp;search_scope=EVERYTHING&amp;vid=01CRU&amp;lang=en_US&amp;offset=0&amp;query=any,contains,991001617629702656","Catalog Record")</f>
        <v/>
      </c>
      <c r="AT566">
        <f>HYPERLINK("http://www.worldcat.org/oclc/20799176","WorldCat Record")</f>
        <v/>
      </c>
      <c r="AU566" t="inlineStr">
        <is>
          <t>433522153:eng</t>
        </is>
      </c>
      <c r="AV566" t="inlineStr">
        <is>
          <t>20799176</t>
        </is>
      </c>
      <c r="AW566" t="inlineStr">
        <is>
          <t>991001617629702656</t>
        </is>
      </c>
      <c r="AX566" t="inlineStr">
        <is>
          <t>991001617629702656</t>
        </is>
      </c>
      <c r="AY566" t="inlineStr">
        <is>
          <t>2263018270002656</t>
        </is>
      </c>
      <c r="AZ566" t="inlineStr">
        <is>
          <t>BOOK</t>
        </is>
      </c>
      <c r="BB566" t="inlineStr">
        <is>
          <t>9780894105999</t>
        </is>
      </c>
      <c r="BC566" t="inlineStr">
        <is>
          <t>32285001729028</t>
        </is>
      </c>
      <c r="BD566" t="inlineStr">
        <is>
          <t>893232093</t>
        </is>
      </c>
    </row>
    <row r="567">
      <c r="A567" t="inlineStr">
        <is>
          <t>No</t>
        </is>
      </c>
      <c r="B567" t="inlineStr">
        <is>
          <t>PJ8410 .P4 1983</t>
        </is>
      </c>
      <c r="C567" t="inlineStr">
        <is>
          <t>0                      PJ 8410000P  4           1983</t>
        </is>
      </c>
      <c r="D567" t="inlineStr">
        <is>
          <t>Esplendor de Al-Andalus : la poesía andaluza en árabe clásico en el siglo xi : sus aspectos generales, sus principales temas y su valor documental / Henri Pérès ; traducción de Mercedes García-Arenal.</t>
        </is>
      </c>
      <c r="F567" t="inlineStr">
        <is>
          <t>No</t>
        </is>
      </c>
      <c r="G567" t="inlineStr">
        <is>
          <t>1</t>
        </is>
      </c>
      <c r="H567" t="inlineStr">
        <is>
          <t>No</t>
        </is>
      </c>
      <c r="I567" t="inlineStr">
        <is>
          <t>No</t>
        </is>
      </c>
      <c r="J567" t="inlineStr">
        <is>
          <t>0</t>
        </is>
      </c>
      <c r="K567" t="inlineStr">
        <is>
          <t>Pérès, Henri.</t>
        </is>
      </c>
      <c r="L567" t="inlineStr">
        <is>
          <t>Madrid : Hiperión, [1983], c1953.</t>
        </is>
      </c>
      <c r="M567" t="inlineStr">
        <is>
          <t>1983</t>
        </is>
      </c>
      <c r="O567" t="inlineStr">
        <is>
          <t>spa</t>
        </is>
      </c>
      <c r="P567" t="inlineStr">
        <is>
          <t xml:space="preserve">sp </t>
        </is>
      </c>
      <c r="Q567" t="inlineStr">
        <is>
          <t>Libros Hiperión ; 61</t>
        </is>
      </c>
      <c r="R567" t="inlineStr">
        <is>
          <t xml:space="preserve">PJ </t>
        </is>
      </c>
      <c r="S567" t="n">
        <v>1</v>
      </c>
      <c r="T567" t="n">
        <v>1</v>
      </c>
      <c r="U567" t="inlineStr">
        <is>
          <t>1999-04-01</t>
        </is>
      </c>
      <c r="V567" t="inlineStr">
        <is>
          <t>1999-04-01</t>
        </is>
      </c>
      <c r="W567" t="inlineStr">
        <is>
          <t>1993-05-04</t>
        </is>
      </c>
      <c r="X567" t="inlineStr">
        <is>
          <t>1993-05-04</t>
        </is>
      </c>
      <c r="Y567" t="n">
        <v>62</v>
      </c>
      <c r="Z567" t="n">
        <v>39</v>
      </c>
      <c r="AA567" t="n">
        <v>43</v>
      </c>
      <c r="AB567" t="n">
        <v>2</v>
      </c>
      <c r="AC567" t="n">
        <v>2</v>
      </c>
      <c r="AD567" t="n">
        <v>4</v>
      </c>
      <c r="AE567" t="n">
        <v>4</v>
      </c>
      <c r="AF567" t="n">
        <v>0</v>
      </c>
      <c r="AG567" t="n">
        <v>0</v>
      </c>
      <c r="AH567" t="n">
        <v>1</v>
      </c>
      <c r="AI567" t="n">
        <v>1</v>
      </c>
      <c r="AJ567" t="n">
        <v>3</v>
      </c>
      <c r="AK567" t="n">
        <v>3</v>
      </c>
      <c r="AL567" t="n">
        <v>1</v>
      </c>
      <c r="AM567" t="n">
        <v>1</v>
      </c>
      <c r="AN567" t="n">
        <v>0</v>
      </c>
      <c r="AO567" t="n">
        <v>0</v>
      </c>
      <c r="AP567" t="inlineStr">
        <is>
          <t>No</t>
        </is>
      </c>
      <c r="AQ567" t="inlineStr">
        <is>
          <t>Yes</t>
        </is>
      </c>
      <c r="AR567">
        <f>HYPERLINK("http://catalog.hathitrust.org/Record/000322558","HathiTrust Record")</f>
        <v/>
      </c>
      <c r="AS567">
        <f>HYPERLINK("https://creighton-primo.hosted.exlibrisgroup.com/primo-explore/search?tab=default_tab&amp;search_scope=EVERYTHING&amp;vid=01CRU&amp;lang=en_US&amp;offset=0&amp;query=any,contains,991000482559702656","Catalog Record")</f>
        <v/>
      </c>
      <c r="AT567">
        <f>HYPERLINK("http://www.worldcat.org/oclc/11058727","WorldCat Record")</f>
        <v/>
      </c>
      <c r="AU567" t="inlineStr">
        <is>
          <t>4020044014:spa</t>
        </is>
      </c>
      <c r="AV567" t="inlineStr">
        <is>
          <t>11058727</t>
        </is>
      </c>
      <c r="AW567" t="inlineStr">
        <is>
          <t>991000482559702656</t>
        </is>
      </c>
      <c r="AX567" t="inlineStr">
        <is>
          <t>991000482559702656</t>
        </is>
      </c>
      <c r="AY567" t="inlineStr">
        <is>
          <t>2257779310002656</t>
        </is>
      </c>
      <c r="AZ567" t="inlineStr">
        <is>
          <t>BOOK</t>
        </is>
      </c>
      <c r="BB567" t="inlineStr">
        <is>
          <t>9788475170978</t>
        </is>
      </c>
      <c r="BC567" t="inlineStr">
        <is>
          <t>32285001671410</t>
        </is>
      </c>
      <c r="BD567" t="inlineStr">
        <is>
          <t>893225015</t>
        </is>
      </c>
    </row>
    <row r="568">
      <c r="A568" t="inlineStr">
        <is>
          <t>No</t>
        </is>
      </c>
      <c r="B568" t="inlineStr">
        <is>
          <t>PJ8414 .I317 1978</t>
        </is>
      </c>
      <c r="C568" t="inlineStr">
        <is>
          <t>0                      PJ 8414000I  317         1978</t>
        </is>
      </c>
      <c r="D568" t="inlineStr">
        <is>
          <t>El libro de las banderas de los campeones / de Ibn Saʼīd al-Magribī : antología de poemas arábigoandaluces, editada por primera vez y traducida con introducción, notas e índices / Emilio García Gómez.</t>
        </is>
      </c>
      <c r="F568" t="inlineStr">
        <is>
          <t>No</t>
        </is>
      </c>
      <c r="G568" t="inlineStr">
        <is>
          <t>1</t>
        </is>
      </c>
      <c r="H568" t="inlineStr">
        <is>
          <t>No</t>
        </is>
      </c>
      <c r="I568" t="inlineStr">
        <is>
          <t>No</t>
        </is>
      </c>
      <c r="J568" t="inlineStr">
        <is>
          <t>0</t>
        </is>
      </c>
      <c r="K568" t="inlineStr">
        <is>
          <t>Ibn Saʻīd, ʻAlī ibn Mūsá, 1213-1286, compiler.</t>
        </is>
      </c>
      <c r="L568" t="inlineStr">
        <is>
          <t>Barcelona : Seix Barral, 1942, 1978 printing.</t>
        </is>
      </c>
      <c r="M568" t="inlineStr">
        <is>
          <t>1942</t>
        </is>
      </c>
      <c r="N568" t="inlineStr">
        <is>
          <t>2. ed. con un nuevo prólogo. 1. ed. en Biblioteca breve de bolsillo.</t>
        </is>
      </c>
      <c r="O568" t="inlineStr">
        <is>
          <t>spa</t>
        </is>
      </c>
      <c r="P568" t="inlineStr">
        <is>
          <t xml:space="preserve">sp </t>
        </is>
      </c>
      <c r="Q568" t="inlineStr">
        <is>
          <t>Biblioteca breve de bolsillo. Serie mayor ; 39</t>
        </is>
      </c>
      <c r="R568" t="inlineStr">
        <is>
          <t xml:space="preserve">PJ </t>
        </is>
      </c>
      <c r="S568" t="n">
        <v>0</v>
      </c>
      <c r="T568" t="n">
        <v>0</v>
      </c>
      <c r="U568" t="inlineStr">
        <is>
          <t>2008-11-13</t>
        </is>
      </c>
      <c r="V568" t="inlineStr">
        <is>
          <t>2008-11-13</t>
        </is>
      </c>
      <c r="W568" t="inlineStr">
        <is>
          <t>1993-05-04</t>
        </is>
      </c>
      <c r="X568" t="inlineStr">
        <is>
          <t>1993-05-04</t>
        </is>
      </c>
      <c r="Y568" t="n">
        <v>58</v>
      </c>
      <c r="Z568" t="n">
        <v>47</v>
      </c>
      <c r="AA568" t="n">
        <v>77</v>
      </c>
      <c r="AB568" t="n">
        <v>1</v>
      </c>
      <c r="AC568" t="n">
        <v>1</v>
      </c>
      <c r="AD568" t="n">
        <v>4</v>
      </c>
      <c r="AE568" t="n">
        <v>4</v>
      </c>
      <c r="AF568" t="n">
        <v>1</v>
      </c>
      <c r="AG568" t="n">
        <v>1</v>
      </c>
      <c r="AH568" t="n">
        <v>2</v>
      </c>
      <c r="AI568" t="n">
        <v>2</v>
      </c>
      <c r="AJ568" t="n">
        <v>2</v>
      </c>
      <c r="AK568" t="n">
        <v>2</v>
      </c>
      <c r="AL568" t="n">
        <v>0</v>
      </c>
      <c r="AM568" t="n">
        <v>0</v>
      </c>
      <c r="AN568" t="n">
        <v>0</v>
      </c>
      <c r="AO568" t="n">
        <v>0</v>
      </c>
      <c r="AP568" t="inlineStr">
        <is>
          <t>No</t>
        </is>
      </c>
      <c r="AQ568" t="inlineStr">
        <is>
          <t>No</t>
        </is>
      </c>
      <c r="AS568">
        <f>HYPERLINK("https://creighton-primo.hosted.exlibrisgroup.com/primo-explore/search?tab=default_tab&amp;search_scope=EVERYTHING&amp;vid=01CRU&amp;lang=en_US&amp;offset=0&amp;query=any,contains,991004718079702656","Catalog Record")</f>
        <v/>
      </c>
      <c r="AT568">
        <f>HYPERLINK("http://www.worldcat.org/oclc/4779721","WorldCat Record")</f>
        <v/>
      </c>
      <c r="AU568" t="inlineStr">
        <is>
          <t>5479101286:spa</t>
        </is>
      </c>
      <c r="AV568" t="inlineStr">
        <is>
          <t>4779721</t>
        </is>
      </c>
      <c r="AW568" t="inlineStr">
        <is>
          <t>991004718079702656</t>
        </is>
      </c>
      <c r="AX568" t="inlineStr">
        <is>
          <t>991004718079702656</t>
        </is>
      </c>
      <c r="AY568" t="inlineStr">
        <is>
          <t>2264021710002656</t>
        </is>
      </c>
      <c r="AZ568" t="inlineStr">
        <is>
          <t>BOOK</t>
        </is>
      </c>
      <c r="BB568" t="inlineStr">
        <is>
          <t>9788432238406</t>
        </is>
      </c>
      <c r="BC568" t="inlineStr">
        <is>
          <t>32285001671436</t>
        </is>
      </c>
      <c r="BD568" t="inlineStr">
        <is>
          <t>893895394</t>
        </is>
      </c>
    </row>
    <row r="569">
      <c r="A569" t="inlineStr">
        <is>
          <t>No</t>
        </is>
      </c>
      <c r="B569" t="inlineStr">
        <is>
          <t>PJ8414 .M6</t>
        </is>
      </c>
      <c r="C569" t="inlineStr">
        <is>
          <t>0                      PJ 8414000M  6</t>
        </is>
      </c>
      <c r="D569" t="inlineStr">
        <is>
          <t>Hispano-Arabic poetry : a student anthology / [compiled] by James T. Monroe.</t>
        </is>
      </c>
      <c r="F569" t="inlineStr">
        <is>
          <t>No</t>
        </is>
      </c>
      <c r="G569" t="inlineStr">
        <is>
          <t>1</t>
        </is>
      </c>
      <c r="H569" t="inlineStr">
        <is>
          <t>No</t>
        </is>
      </c>
      <c r="I569" t="inlineStr">
        <is>
          <t>No</t>
        </is>
      </c>
      <c r="J569" t="inlineStr">
        <is>
          <t>0</t>
        </is>
      </c>
      <c r="K569" t="inlineStr">
        <is>
          <t>Monroe, James T. compiler.</t>
        </is>
      </c>
      <c r="L569" t="inlineStr">
        <is>
          <t>Berkeley : University of California Press, 1974.</t>
        </is>
      </c>
      <c r="M569" t="inlineStr">
        <is>
          <t>1974</t>
        </is>
      </c>
      <c r="O569" t="inlineStr">
        <is>
          <t>eng</t>
        </is>
      </c>
      <c r="P569" t="inlineStr">
        <is>
          <t>cau</t>
        </is>
      </c>
      <c r="R569" t="inlineStr">
        <is>
          <t xml:space="preserve">PJ </t>
        </is>
      </c>
      <c r="S569" t="n">
        <v>3</v>
      </c>
      <c r="T569" t="n">
        <v>3</v>
      </c>
      <c r="U569" t="inlineStr">
        <is>
          <t>2010-01-14</t>
        </is>
      </c>
      <c r="V569" t="inlineStr">
        <is>
          <t>2010-01-14</t>
        </is>
      </c>
      <c r="W569" t="inlineStr">
        <is>
          <t>1990-10-22</t>
        </is>
      </c>
      <c r="X569" t="inlineStr">
        <is>
          <t>1990-10-22</t>
        </is>
      </c>
      <c r="Y569" t="n">
        <v>440</v>
      </c>
      <c r="Z569" t="n">
        <v>349</v>
      </c>
      <c r="AA569" t="n">
        <v>373</v>
      </c>
      <c r="AB569" t="n">
        <v>3</v>
      </c>
      <c r="AC569" t="n">
        <v>3</v>
      </c>
      <c r="AD569" t="n">
        <v>21</v>
      </c>
      <c r="AE569" t="n">
        <v>22</v>
      </c>
      <c r="AF569" t="n">
        <v>6</v>
      </c>
      <c r="AG569" t="n">
        <v>6</v>
      </c>
      <c r="AH569" t="n">
        <v>6</v>
      </c>
      <c r="AI569" t="n">
        <v>6</v>
      </c>
      <c r="AJ569" t="n">
        <v>11</v>
      </c>
      <c r="AK569" t="n">
        <v>12</v>
      </c>
      <c r="AL569" t="n">
        <v>2</v>
      </c>
      <c r="AM569" t="n">
        <v>2</v>
      </c>
      <c r="AN569" t="n">
        <v>0</v>
      </c>
      <c r="AO569" t="n">
        <v>0</v>
      </c>
      <c r="AP569" t="inlineStr">
        <is>
          <t>No</t>
        </is>
      </c>
      <c r="AQ569" t="inlineStr">
        <is>
          <t>No</t>
        </is>
      </c>
      <c r="AS569">
        <f>HYPERLINK("https://creighton-primo.hosted.exlibrisgroup.com/primo-explore/search?tab=default_tab&amp;search_scope=EVERYTHING&amp;vid=01CRU&amp;lang=en_US&amp;offset=0&amp;query=any,contains,991003634599702656","Catalog Record")</f>
        <v/>
      </c>
      <c r="AT569">
        <f>HYPERLINK("http://www.worldcat.org/oclc/1229333","WorldCat Record")</f>
        <v/>
      </c>
      <c r="AU569" t="inlineStr">
        <is>
          <t>1060436:eng</t>
        </is>
      </c>
      <c r="AV569" t="inlineStr">
        <is>
          <t>1229333</t>
        </is>
      </c>
      <c r="AW569" t="inlineStr">
        <is>
          <t>991003634599702656</t>
        </is>
      </c>
      <c r="AX569" t="inlineStr">
        <is>
          <t>991003634599702656</t>
        </is>
      </c>
      <c r="AY569" t="inlineStr">
        <is>
          <t>2268290460002656</t>
        </is>
      </c>
      <c r="AZ569" t="inlineStr">
        <is>
          <t>BOOK</t>
        </is>
      </c>
      <c r="BB569" t="inlineStr">
        <is>
          <t>9780520016927</t>
        </is>
      </c>
      <c r="BC569" t="inlineStr">
        <is>
          <t>32285000351337</t>
        </is>
      </c>
      <c r="BD569" t="inlineStr">
        <is>
          <t>893806014</t>
        </is>
      </c>
    </row>
    <row r="570">
      <c r="A570" t="inlineStr">
        <is>
          <t>No</t>
        </is>
      </c>
      <c r="B570" t="inlineStr">
        <is>
          <t>PK1703 .S46 1992</t>
        </is>
      </c>
      <c r="C570" t="inlineStr">
        <is>
          <t>0                      PK 1703000S  46          1992</t>
        </is>
      </c>
      <c r="D570" t="inlineStr">
        <is>
          <t>India and Nepal : some aspects of culture contact / Jahar Sen.</t>
        </is>
      </c>
      <c r="F570" t="inlineStr">
        <is>
          <t>No</t>
        </is>
      </c>
      <c r="G570" t="inlineStr">
        <is>
          <t>1</t>
        </is>
      </c>
      <c r="H570" t="inlineStr">
        <is>
          <t>No</t>
        </is>
      </c>
      <c r="I570" t="inlineStr">
        <is>
          <t>No</t>
        </is>
      </c>
      <c r="J570" t="inlineStr">
        <is>
          <t>0</t>
        </is>
      </c>
      <c r="K570" t="inlineStr">
        <is>
          <t>Sen, Jahar, 1932-</t>
        </is>
      </c>
      <c r="L570" t="inlineStr">
        <is>
          <t>New Delhi : Indian Institute of Advanced Study, Shimla, in association with Indus Pub. Co., c1992.</t>
        </is>
      </c>
      <c r="M570" t="inlineStr">
        <is>
          <t>1992</t>
        </is>
      </c>
      <c r="O570" t="inlineStr">
        <is>
          <t>eng</t>
        </is>
      </c>
      <c r="P570" t="inlineStr">
        <is>
          <t xml:space="preserve">ii </t>
        </is>
      </c>
      <c r="Q570" t="inlineStr">
        <is>
          <t>Monograph ; 77</t>
        </is>
      </c>
      <c r="R570" t="inlineStr">
        <is>
          <t xml:space="preserve">PK </t>
        </is>
      </c>
      <c r="S570" t="n">
        <v>16</v>
      </c>
      <c r="T570" t="n">
        <v>16</v>
      </c>
      <c r="U570" t="inlineStr">
        <is>
          <t>2000-03-15</t>
        </is>
      </c>
      <c r="V570" t="inlineStr">
        <is>
          <t>2000-03-15</t>
        </is>
      </c>
      <c r="W570" t="inlineStr">
        <is>
          <t>1993-11-23</t>
        </is>
      </c>
      <c r="X570" t="inlineStr">
        <is>
          <t>1993-11-23</t>
        </is>
      </c>
      <c r="Y570" t="n">
        <v>41</v>
      </c>
      <c r="Z570" t="n">
        <v>30</v>
      </c>
      <c r="AA570" t="n">
        <v>32</v>
      </c>
      <c r="AB570" t="n">
        <v>1</v>
      </c>
      <c r="AC570" t="n">
        <v>1</v>
      </c>
      <c r="AD570" t="n">
        <v>0</v>
      </c>
      <c r="AE570" t="n">
        <v>0</v>
      </c>
      <c r="AF570" t="n">
        <v>0</v>
      </c>
      <c r="AG570" t="n">
        <v>0</v>
      </c>
      <c r="AH570" t="n">
        <v>0</v>
      </c>
      <c r="AI570" t="n">
        <v>0</v>
      </c>
      <c r="AJ570" t="n">
        <v>0</v>
      </c>
      <c r="AK570" t="n">
        <v>0</v>
      </c>
      <c r="AL570" t="n">
        <v>0</v>
      </c>
      <c r="AM570" t="n">
        <v>0</v>
      </c>
      <c r="AN570" t="n">
        <v>0</v>
      </c>
      <c r="AO570" t="n">
        <v>0</v>
      </c>
      <c r="AP570" t="inlineStr">
        <is>
          <t>No</t>
        </is>
      </c>
      <c r="AQ570" t="inlineStr">
        <is>
          <t>Yes</t>
        </is>
      </c>
      <c r="AR570">
        <f>HYPERLINK("http://catalog.hathitrust.org/Record/009622498","HathiTrust Record")</f>
        <v/>
      </c>
      <c r="AS570">
        <f>HYPERLINK("https://creighton-primo.hosted.exlibrisgroup.com/primo-explore/search?tab=default_tab&amp;search_scope=EVERYTHING&amp;vid=01CRU&amp;lang=en_US&amp;offset=0&amp;query=any,contains,991002261859702656","Catalog Record")</f>
        <v/>
      </c>
      <c r="AT570">
        <f>HYPERLINK("http://www.worldcat.org/oclc/29956545","WorldCat Record")</f>
        <v/>
      </c>
      <c r="AU570" t="inlineStr">
        <is>
          <t>371421971:eng</t>
        </is>
      </c>
      <c r="AV570" t="inlineStr">
        <is>
          <t>29956545</t>
        </is>
      </c>
      <c r="AW570" t="inlineStr">
        <is>
          <t>991002261859702656</t>
        </is>
      </c>
      <c r="AX570" t="inlineStr">
        <is>
          <t>991002261859702656</t>
        </is>
      </c>
      <c r="AY570" t="inlineStr">
        <is>
          <t>2264518760002656</t>
        </is>
      </c>
      <c r="AZ570" t="inlineStr">
        <is>
          <t>BOOK</t>
        </is>
      </c>
      <c r="BC570" t="inlineStr">
        <is>
          <t>32285001415198</t>
        </is>
      </c>
      <c r="BD570" t="inlineStr">
        <is>
          <t>893523396</t>
        </is>
      </c>
    </row>
    <row r="571">
      <c r="A571" t="inlineStr">
        <is>
          <t>No</t>
        </is>
      </c>
      <c r="B571" t="inlineStr">
        <is>
          <t>PK1718 .B298</t>
        </is>
      </c>
      <c r="C571" t="inlineStr">
        <is>
          <t>0                      PK 1718000B  298</t>
        </is>
      </c>
      <c r="D571" t="inlineStr">
        <is>
          <t>Pather panchali, Song of the road : a Bengali novel / Translated into English by T. W. Clark and Tarapada Mukherji.</t>
        </is>
      </c>
      <c r="F571" t="inlineStr">
        <is>
          <t>No</t>
        </is>
      </c>
      <c r="G571" t="inlineStr">
        <is>
          <t>1</t>
        </is>
      </c>
      <c r="H571" t="inlineStr">
        <is>
          <t>No</t>
        </is>
      </c>
      <c r="I571" t="inlineStr">
        <is>
          <t>No</t>
        </is>
      </c>
      <c r="J571" t="inlineStr">
        <is>
          <t>0</t>
        </is>
      </c>
      <c r="K571" t="inlineStr">
        <is>
          <t>Bandyopādhyāẏa, Bibhūtibhūshaṇa, 1896?-1950.</t>
        </is>
      </c>
      <c r="L571" t="inlineStr">
        <is>
          <t>Bloomington : Indiana University Press, [1968]</t>
        </is>
      </c>
      <c r="M571" t="inlineStr">
        <is>
          <t>1968</t>
        </is>
      </c>
      <c r="O571" t="inlineStr">
        <is>
          <t>eng</t>
        </is>
      </c>
      <c r="P571" t="inlineStr">
        <is>
          <t>inu</t>
        </is>
      </c>
      <c r="Q571" t="inlineStr">
        <is>
          <t>UNESCO collection of representative works. Indian series</t>
        </is>
      </c>
      <c r="R571" t="inlineStr">
        <is>
          <t xml:space="preserve">PK </t>
        </is>
      </c>
      <c r="S571" t="n">
        <v>1</v>
      </c>
      <c r="T571" t="n">
        <v>1</v>
      </c>
      <c r="U571" t="inlineStr">
        <is>
          <t>2009-09-18</t>
        </is>
      </c>
      <c r="V571" t="inlineStr">
        <is>
          <t>2009-09-18</t>
        </is>
      </c>
      <c r="W571" t="inlineStr">
        <is>
          <t>1992-04-24</t>
        </is>
      </c>
      <c r="X571" t="inlineStr">
        <is>
          <t>1992-04-24</t>
        </is>
      </c>
      <c r="Y571" t="n">
        <v>425</v>
      </c>
      <c r="Z571" t="n">
        <v>406</v>
      </c>
      <c r="AA571" t="n">
        <v>454</v>
      </c>
      <c r="AB571" t="n">
        <v>4</v>
      </c>
      <c r="AC571" t="n">
        <v>4</v>
      </c>
      <c r="AD571" t="n">
        <v>15</v>
      </c>
      <c r="AE571" t="n">
        <v>15</v>
      </c>
      <c r="AF571" t="n">
        <v>4</v>
      </c>
      <c r="AG571" t="n">
        <v>4</v>
      </c>
      <c r="AH571" t="n">
        <v>2</v>
      </c>
      <c r="AI571" t="n">
        <v>2</v>
      </c>
      <c r="AJ571" t="n">
        <v>6</v>
      </c>
      <c r="AK571" t="n">
        <v>6</v>
      </c>
      <c r="AL571" t="n">
        <v>3</v>
      </c>
      <c r="AM571" t="n">
        <v>3</v>
      </c>
      <c r="AN571" t="n">
        <v>0</v>
      </c>
      <c r="AO571" t="n">
        <v>0</v>
      </c>
      <c r="AP571" t="inlineStr">
        <is>
          <t>No</t>
        </is>
      </c>
      <c r="AQ571" t="inlineStr">
        <is>
          <t>Yes</t>
        </is>
      </c>
      <c r="AR571">
        <f>HYPERLINK("http://catalog.hathitrust.org/Record/001110603","HathiTrust Record")</f>
        <v/>
      </c>
      <c r="AS571">
        <f>HYPERLINK("https://creighton-primo.hosted.exlibrisgroup.com/primo-explore/search?tab=default_tab&amp;search_scope=EVERYTHING&amp;vid=01CRU&amp;lang=en_US&amp;offset=0&amp;query=any,contains,991005431949702656","Catalog Record")</f>
        <v/>
      </c>
      <c r="AT571">
        <f>HYPERLINK("http://www.worldcat.org/oclc/817","WorldCat Record")</f>
        <v/>
      </c>
      <c r="AU571" t="inlineStr">
        <is>
          <t>9965224984:eng</t>
        </is>
      </c>
      <c r="AV571" t="inlineStr">
        <is>
          <t>817</t>
        </is>
      </c>
      <c r="AW571" t="inlineStr">
        <is>
          <t>991005431949702656</t>
        </is>
      </c>
      <c r="AX571" t="inlineStr">
        <is>
          <t>991005431949702656</t>
        </is>
      </c>
      <c r="AY571" t="inlineStr">
        <is>
          <t>2272655290002656</t>
        </is>
      </c>
      <c r="AZ571" t="inlineStr">
        <is>
          <t>BOOK</t>
        </is>
      </c>
      <c r="BC571" t="inlineStr">
        <is>
          <t>32285001086254</t>
        </is>
      </c>
      <c r="BD571" t="inlineStr">
        <is>
          <t>893714106</t>
        </is>
      </c>
    </row>
    <row r="572">
      <c r="A572" t="inlineStr">
        <is>
          <t>No</t>
        </is>
      </c>
      <c r="B572" t="inlineStr">
        <is>
          <t>PK1719 1971</t>
        </is>
      </c>
      <c r="C572" t="inlineStr">
        <is>
          <t>0                      PK 1719000               1971</t>
        </is>
      </c>
      <c r="D572" t="inlineStr">
        <is>
          <t>Gitanjali (song offerings) : a collection of prose translations made by the author from the original Bengali / Rabindranath Tagore ; with an introduction by W. B. Yeats.</t>
        </is>
      </c>
      <c r="F572" t="inlineStr">
        <is>
          <t>No</t>
        </is>
      </c>
      <c r="G572" t="inlineStr">
        <is>
          <t>1</t>
        </is>
      </c>
      <c r="H572" t="inlineStr">
        <is>
          <t>Yes</t>
        </is>
      </c>
      <c r="I572" t="inlineStr">
        <is>
          <t>No</t>
        </is>
      </c>
      <c r="J572" t="inlineStr">
        <is>
          <t>0</t>
        </is>
      </c>
      <c r="K572" t="inlineStr">
        <is>
          <t>Tagore, Rabindranath, 1861-1941.</t>
        </is>
      </c>
      <c r="L572" t="inlineStr">
        <is>
          <t>New York : Macmillan, 1971.</t>
        </is>
      </c>
      <c r="M572" t="inlineStr">
        <is>
          <t>1971</t>
        </is>
      </c>
      <c r="O572" t="inlineStr">
        <is>
          <t>eng</t>
        </is>
      </c>
      <c r="P572" t="inlineStr">
        <is>
          <t>nyu</t>
        </is>
      </c>
      <c r="R572" t="inlineStr">
        <is>
          <t xml:space="preserve">PK </t>
        </is>
      </c>
      <c r="S572" t="n">
        <v>5</v>
      </c>
      <c r="T572" t="n">
        <v>21</v>
      </c>
      <c r="U572" t="inlineStr">
        <is>
          <t>2004-09-01</t>
        </is>
      </c>
      <c r="V572" t="inlineStr">
        <is>
          <t>2009-05-19</t>
        </is>
      </c>
      <c r="W572" t="inlineStr">
        <is>
          <t>1993-05-04</t>
        </is>
      </c>
      <c r="X572" t="inlineStr">
        <is>
          <t>1993-05-04</t>
        </is>
      </c>
      <c r="Y572" t="n">
        <v>142</v>
      </c>
      <c r="Z572" t="n">
        <v>131</v>
      </c>
      <c r="AA572" t="n">
        <v>1374</v>
      </c>
      <c r="AB572" t="n">
        <v>1</v>
      </c>
      <c r="AC572" t="n">
        <v>7</v>
      </c>
      <c r="AD572" t="n">
        <v>9</v>
      </c>
      <c r="AE572" t="n">
        <v>44</v>
      </c>
      <c r="AF572" t="n">
        <v>3</v>
      </c>
      <c r="AG572" t="n">
        <v>22</v>
      </c>
      <c r="AH572" t="n">
        <v>3</v>
      </c>
      <c r="AI572" t="n">
        <v>10</v>
      </c>
      <c r="AJ572" t="n">
        <v>6</v>
      </c>
      <c r="AK572" t="n">
        <v>19</v>
      </c>
      <c r="AL572" t="n">
        <v>0</v>
      </c>
      <c r="AM572" t="n">
        <v>4</v>
      </c>
      <c r="AN572" t="n">
        <v>0</v>
      </c>
      <c r="AO572" t="n">
        <v>0</v>
      </c>
      <c r="AP572" t="inlineStr">
        <is>
          <t>No</t>
        </is>
      </c>
      <c r="AQ572" t="inlineStr">
        <is>
          <t>Yes</t>
        </is>
      </c>
      <c r="AR572">
        <f>HYPERLINK("http://catalog.hathitrust.org/Record/007114784","HathiTrust Record")</f>
        <v/>
      </c>
      <c r="AS572">
        <f>HYPERLINK("https://creighton-primo.hosted.exlibrisgroup.com/primo-explore/search?tab=default_tab&amp;search_scope=EVERYTHING&amp;vid=01CRU&amp;lang=en_US&amp;offset=0&amp;query=any,contains,991001138499702656","Catalog Record")</f>
        <v/>
      </c>
      <c r="AT572">
        <f>HYPERLINK("http://www.worldcat.org/oclc/16720342","WorldCat Record")</f>
        <v/>
      </c>
      <c r="AU572" t="inlineStr">
        <is>
          <t>430291572:eng</t>
        </is>
      </c>
      <c r="AV572" t="inlineStr">
        <is>
          <t>16720342</t>
        </is>
      </c>
      <c r="AW572" t="inlineStr">
        <is>
          <t>991001138499702656</t>
        </is>
      </c>
      <c r="AX572" t="inlineStr">
        <is>
          <t>991001138499702656</t>
        </is>
      </c>
      <c r="AY572" t="inlineStr">
        <is>
          <t>2263341570002656</t>
        </is>
      </c>
      <c r="AZ572" t="inlineStr">
        <is>
          <t>BOOK</t>
        </is>
      </c>
      <c r="BC572" t="inlineStr">
        <is>
          <t>32285001671444</t>
        </is>
      </c>
      <c r="BD572" t="inlineStr">
        <is>
          <t>893621107</t>
        </is>
      </c>
    </row>
    <row r="573">
      <c r="A573" t="inlineStr">
        <is>
          <t>No</t>
        </is>
      </c>
      <c r="B573" t="inlineStr">
        <is>
          <t>PK1722.A2 G78 2003</t>
        </is>
      </c>
      <c r="C573" t="inlineStr">
        <is>
          <t>0                      PK 1722000A  2                  G  78          2003</t>
        </is>
      </c>
      <c r="D573" t="inlineStr">
        <is>
          <t>The prince and other modern fables / Rabindranath Tagore ; translated from the Bengali by Sreejata Guha ; illustrations by Rosy Rodrigues.</t>
        </is>
      </c>
      <c r="F573" t="inlineStr">
        <is>
          <t>No</t>
        </is>
      </c>
      <c r="G573" t="inlineStr">
        <is>
          <t>1</t>
        </is>
      </c>
      <c r="H573" t="inlineStr">
        <is>
          <t>Yes</t>
        </is>
      </c>
      <c r="I573" t="inlineStr">
        <is>
          <t>No</t>
        </is>
      </c>
      <c r="J573" t="inlineStr">
        <is>
          <t>0</t>
        </is>
      </c>
      <c r="K573" t="inlineStr">
        <is>
          <t>Tagore, Rabindranath, 1861-1941.</t>
        </is>
      </c>
      <c r="L573" t="inlineStr">
        <is>
          <t>New Delhi ; New York, NY : Puffin Books, 2003.</t>
        </is>
      </c>
      <c r="M573" t="inlineStr">
        <is>
          <t>2003</t>
        </is>
      </c>
      <c r="O573" t="inlineStr">
        <is>
          <t>eng</t>
        </is>
      </c>
      <c r="P573" t="inlineStr">
        <is>
          <t xml:space="preserve">ii </t>
        </is>
      </c>
      <c r="R573" t="inlineStr">
        <is>
          <t xml:space="preserve">PK </t>
        </is>
      </c>
      <c r="S573" t="n">
        <v>1</v>
      </c>
      <c r="T573" t="n">
        <v>1</v>
      </c>
      <c r="U573" t="inlineStr">
        <is>
          <t>2010-01-18</t>
        </is>
      </c>
      <c r="V573" t="inlineStr">
        <is>
          <t>2010-01-18</t>
        </is>
      </c>
      <c r="W573" t="inlineStr">
        <is>
          <t>2009-09-02</t>
        </is>
      </c>
      <c r="X573" t="inlineStr">
        <is>
          <t>2009-09-02</t>
        </is>
      </c>
      <c r="Y573" t="n">
        <v>49</v>
      </c>
      <c r="Z573" t="n">
        <v>36</v>
      </c>
      <c r="AA573" t="n">
        <v>42</v>
      </c>
      <c r="AB573" t="n">
        <v>2</v>
      </c>
      <c r="AC573" t="n">
        <v>2</v>
      </c>
      <c r="AD573" t="n">
        <v>1</v>
      </c>
      <c r="AE573" t="n">
        <v>1</v>
      </c>
      <c r="AF573" t="n">
        <v>0</v>
      </c>
      <c r="AG573" t="n">
        <v>0</v>
      </c>
      <c r="AH573" t="n">
        <v>0</v>
      </c>
      <c r="AI573" t="n">
        <v>0</v>
      </c>
      <c r="AJ573" t="n">
        <v>0</v>
      </c>
      <c r="AK573" t="n">
        <v>0</v>
      </c>
      <c r="AL573" t="n">
        <v>1</v>
      </c>
      <c r="AM573" t="n">
        <v>1</v>
      </c>
      <c r="AN573" t="n">
        <v>0</v>
      </c>
      <c r="AO573" t="n">
        <v>0</v>
      </c>
      <c r="AP573" t="inlineStr">
        <is>
          <t>No</t>
        </is>
      </c>
      <c r="AQ573" t="inlineStr">
        <is>
          <t>Yes</t>
        </is>
      </c>
      <c r="AR573">
        <f>HYPERLINK("http://catalog.hathitrust.org/Record/006930678","HathiTrust Record")</f>
        <v/>
      </c>
      <c r="AS573">
        <f>HYPERLINK("https://creighton-primo.hosted.exlibrisgroup.com/primo-explore/search?tab=default_tab&amp;search_scope=EVERYTHING&amp;vid=01CRU&amp;lang=en_US&amp;offset=0&amp;query=any,contains,991004471509702656","Catalog Record")</f>
        <v/>
      </c>
      <c r="AT573">
        <f>HYPERLINK("http://www.worldcat.org/oclc/57453957","WorldCat Record")</f>
        <v/>
      </c>
      <c r="AU573" t="inlineStr">
        <is>
          <t>291291906:eng</t>
        </is>
      </c>
      <c r="AV573" t="inlineStr">
        <is>
          <t>57453957</t>
        </is>
      </c>
      <c r="AW573" t="inlineStr">
        <is>
          <t>991004471509702656</t>
        </is>
      </c>
      <c r="AX573" t="inlineStr">
        <is>
          <t>991004471509702656</t>
        </is>
      </c>
      <c r="AY573" t="inlineStr">
        <is>
          <t>2264943530002656</t>
        </is>
      </c>
      <c r="AZ573" t="inlineStr">
        <is>
          <t>BOOK</t>
        </is>
      </c>
      <c r="BB573" t="inlineStr">
        <is>
          <t>9780143335702</t>
        </is>
      </c>
      <c r="BC573" t="inlineStr">
        <is>
          <t>32285005543367</t>
        </is>
      </c>
      <c r="BD573" t="inlineStr">
        <is>
          <t>893687767</t>
        </is>
      </c>
    </row>
    <row r="574">
      <c r="A574" t="inlineStr">
        <is>
          <t>No</t>
        </is>
      </c>
      <c r="B574" t="inlineStr">
        <is>
          <t>PK1723.C4 E5 1993</t>
        </is>
      </c>
      <c r="C574" t="inlineStr">
        <is>
          <t>0                      PK 1723000C  4                  E  5           1993</t>
        </is>
      </c>
      <c r="D574" t="inlineStr">
        <is>
          <t>Quartet / Rabindranath Tagore ; translated from the Bengali by Kaiser Haq.</t>
        </is>
      </c>
      <c r="F574" t="inlineStr">
        <is>
          <t>No</t>
        </is>
      </c>
      <c r="G574" t="inlineStr">
        <is>
          <t>1</t>
        </is>
      </c>
      <c r="H574" t="inlineStr">
        <is>
          <t>No</t>
        </is>
      </c>
      <c r="I574" t="inlineStr">
        <is>
          <t>No</t>
        </is>
      </c>
      <c r="J574" t="inlineStr">
        <is>
          <t>0</t>
        </is>
      </c>
      <c r="K574" t="inlineStr">
        <is>
          <t>Tagore, Rabindranath, 1861-1941.</t>
        </is>
      </c>
      <c r="L574" t="inlineStr">
        <is>
          <t>Oxford : Heinemann, 1993.</t>
        </is>
      </c>
      <c r="M574" t="inlineStr">
        <is>
          <t>1993</t>
        </is>
      </c>
      <c r="O574" t="inlineStr">
        <is>
          <t>eng</t>
        </is>
      </c>
      <c r="P574" t="inlineStr">
        <is>
          <t>enk</t>
        </is>
      </c>
      <c r="Q574" t="inlineStr">
        <is>
          <t>Asian writers series</t>
        </is>
      </c>
      <c r="R574" t="inlineStr">
        <is>
          <t xml:space="preserve">PK </t>
        </is>
      </c>
      <c r="S574" t="n">
        <v>3</v>
      </c>
      <c r="T574" t="n">
        <v>3</v>
      </c>
      <c r="U574" t="inlineStr">
        <is>
          <t>2005-03-15</t>
        </is>
      </c>
      <c r="V574" t="inlineStr">
        <is>
          <t>2005-03-15</t>
        </is>
      </c>
      <c r="W574" t="inlineStr">
        <is>
          <t>1994-12-21</t>
        </is>
      </c>
      <c r="X574" t="inlineStr">
        <is>
          <t>1994-12-21</t>
        </is>
      </c>
      <c r="Y574" t="n">
        <v>269</v>
      </c>
      <c r="Z574" t="n">
        <v>208</v>
      </c>
      <c r="AA574" t="n">
        <v>216</v>
      </c>
      <c r="AB574" t="n">
        <v>2</v>
      </c>
      <c r="AC574" t="n">
        <v>2</v>
      </c>
      <c r="AD574" t="n">
        <v>11</v>
      </c>
      <c r="AE574" t="n">
        <v>11</v>
      </c>
      <c r="AF574" t="n">
        <v>5</v>
      </c>
      <c r="AG574" t="n">
        <v>5</v>
      </c>
      <c r="AH574" t="n">
        <v>3</v>
      </c>
      <c r="AI574" t="n">
        <v>3</v>
      </c>
      <c r="AJ574" t="n">
        <v>6</v>
      </c>
      <c r="AK574" t="n">
        <v>6</v>
      </c>
      <c r="AL574" t="n">
        <v>1</v>
      </c>
      <c r="AM574" t="n">
        <v>1</v>
      </c>
      <c r="AN574" t="n">
        <v>0</v>
      </c>
      <c r="AO574" t="n">
        <v>0</v>
      </c>
      <c r="AP574" t="inlineStr">
        <is>
          <t>No</t>
        </is>
      </c>
      <c r="AQ574" t="inlineStr">
        <is>
          <t>Yes</t>
        </is>
      </c>
      <c r="AR574">
        <f>HYPERLINK("http://catalog.hathitrust.org/Record/007130137","HathiTrust Record")</f>
        <v/>
      </c>
      <c r="AS574">
        <f>HYPERLINK("https://creighton-primo.hosted.exlibrisgroup.com/primo-explore/search?tab=default_tab&amp;search_scope=EVERYTHING&amp;vid=01CRU&amp;lang=en_US&amp;offset=0&amp;query=any,contains,991002274299702656","Catalog Record")</f>
        <v/>
      </c>
      <c r="AT574">
        <f>HYPERLINK("http://www.worldcat.org/oclc/29518835","WorldCat Record")</f>
        <v/>
      </c>
      <c r="AU574" t="inlineStr">
        <is>
          <t>1215463155:eng</t>
        </is>
      </c>
      <c r="AV574" t="inlineStr">
        <is>
          <t>29518835</t>
        </is>
      </c>
      <c r="AW574" t="inlineStr">
        <is>
          <t>991002274299702656</t>
        </is>
      </c>
      <c r="AX574" t="inlineStr">
        <is>
          <t>991002274299702656</t>
        </is>
      </c>
      <c r="AY574" t="inlineStr">
        <is>
          <t>2272083070002656</t>
        </is>
      </c>
      <c r="AZ574" t="inlineStr">
        <is>
          <t>BOOK</t>
        </is>
      </c>
      <c r="BB574" t="inlineStr">
        <is>
          <t>9780435950866</t>
        </is>
      </c>
      <c r="BC574" t="inlineStr">
        <is>
          <t>32285001977981</t>
        </is>
      </c>
      <c r="BD574" t="inlineStr">
        <is>
          <t>893347313</t>
        </is>
      </c>
    </row>
    <row r="575">
      <c r="A575" t="inlineStr">
        <is>
          <t>No</t>
        </is>
      </c>
      <c r="B575" t="inlineStr">
        <is>
          <t>PK1723.G5 E5 2005</t>
        </is>
      </c>
      <c r="C575" t="inlineStr">
        <is>
          <t>0                      PK 1723000G  5                  E  5           2005</t>
        </is>
      </c>
      <c r="D575" t="inlineStr">
        <is>
          <t>The home and the world / Rabindranath Tagore ; translated by Surendranath Tagore ; introduction by Anita Desai ; preface by William Radice.</t>
        </is>
      </c>
      <c r="F575" t="inlineStr">
        <is>
          <t>No</t>
        </is>
      </c>
      <c r="G575" t="inlineStr">
        <is>
          <t>1</t>
        </is>
      </c>
      <c r="H575" t="inlineStr">
        <is>
          <t>No</t>
        </is>
      </c>
      <c r="I575" t="inlineStr">
        <is>
          <t>No</t>
        </is>
      </c>
      <c r="J575" t="inlineStr">
        <is>
          <t>0</t>
        </is>
      </c>
      <c r="K575" t="inlineStr">
        <is>
          <t>Tagore, Rabindranath, 1861-1941.</t>
        </is>
      </c>
      <c r="L575" t="inlineStr">
        <is>
          <t>London ; New York : Penguin Books, 2005.</t>
        </is>
      </c>
      <c r="M575" t="inlineStr">
        <is>
          <t>2005</t>
        </is>
      </c>
      <c r="O575" t="inlineStr">
        <is>
          <t>eng</t>
        </is>
      </c>
      <c r="P575" t="inlineStr">
        <is>
          <t>enk</t>
        </is>
      </c>
      <c r="Q575" t="inlineStr">
        <is>
          <t>Penguin classics</t>
        </is>
      </c>
      <c r="R575" t="inlineStr">
        <is>
          <t xml:space="preserve">PK </t>
        </is>
      </c>
      <c r="S575" t="n">
        <v>1</v>
      </c>
      <c r="T575" t="n">
        <v>1</v>
      </c>
      <c r="U575" t="inlineStr">
        <is>
          <t>2009-05-11</t>
        </is>
      </c>
      <c r="V575" t="inlineStr">
        <is>
          <t>2009-05-11</t>
        </is>
      </c>
      <c r="W575" t="inlineStr">
        <is>
          <t>2009-05-11</t>
        </is>
      </c>
      <c r="X575" t="inlineStr">
        <is>
          <t>2009-05-11</t>
        </is>
      </c>
      <c r="Y575" t="n">
        <v>248</v>
      </c>
      <c r="Z575" t="n">
        <v>174</v>
      </c>
      <c r="AA575" t="n">
        <v>683</v>
      </c>
      <c r="AB575" t="n">
        <v>1</v>
      </c>
      <c r="AC575" t="n">
        <v>4</v>
      </c>
      <c r="AD575" t="n">
        <v>3</v>
      </c>
      <c r="AE575" t="n">
        <v>25</v>
      </c>
      <c r="AF575" t="n">
        <v>1</v>
      </c>
      <c r="AG575" t="n">
        <v>13</v>
      </c>
      <c r="AH575" t="n">
        <v>0</v>
      </c>
      <c r="AI575" t="n">
        <v>4</v>
      </c>
      <c r="AJ575" t="n">
        <v>2</v>
      </c>
      <c r="AK575" t="n">
        <v>11</v>
      </c>
      <c r="AL575" t="n">
        <v>0</v>
      </c>
      <c r="AM575" t="n">
        <v>2</v>
      </c>
      <c r="AN575" t="n">
        <v>0</v>
      </c>
      <c r="AO575" t="n">
        <v>0</v>
      </c>
      <c r="AP575" t="inlineStr">
        <is>
          <t>No</t>
        </is>
      </c>
      <c r="AQ575" t="inlineStr">
        <is>
          <t>No</t>
        </is>
      </c>
      <c r="AS575">
        <f>HYPERLINK("https://creighton-primo.hosted.exlibrisgroup.com/primo-explore/search?tab=default_tab&amp;search_scope=EVERYTHING&amp;vid=01CRU&amp;lang=en_US&amp;offset=0&amp;query=any,contains,991005315249702656","Catalog Record")</f>
        <v/>
      </c>
      <c r="AT575">
        <f>HYPERLINK("http://www.worldcat.org/oclc/59280344","WorldCat Record")</f>
        <v/>
      </c>
      <c r="AU575" t="inlineStr">
        <is>
          <t>14071501:eng</t>
        </is>
      </c>
      <c r="AV575" t="inlineStr">
        <is>
          <t>59280344</t>
        </is>
      </c>
      <c r="AW575" t="inlineStr">
        <is>
          <t>991005315249702656</t>
        </is>
      </c>
      <c r="AX575" t="inlineStr">
        <is>
          <t>991005315249702656</t>
        </is>
      </c>
      <c r="AY575" t="inlineStr">
        <is>
          <t>2257282720002656</t>
        </is>
      </c>
      <c r="AZ575" t="inlineStr">
        <is>
          <t>BOOK</t>
        </is>
      </c>
      <c r="BB575" t="inlineStr">
        <is>
          <t>9780140449860</t>
        </is>
      </c>
      <c r="BC575" t="inlineStr">
        <is>
          <t>32285005531750</t>
        </is>
      </c>
      <c r="BD575" t="inlineStr">
        <is>
          <t>893795971</t>
        </is>
      </c>
    </row>
    <row r="576">
      <c r="A576" t="inlineStr">
        <is>
          <t>No</t>
        </is>
      </c>
      <c r="B576" t="inlineStr">
        <is>
          <t>PK1725 .L3</t>
        </is>
      </c>
      <c r="C576" t="inlineStr">
        <is>
          <t>0                      PK 1725000L  3</t>
        </is>
      </c>
      <c r="D576" t="inlineStr">
        <is>
          <t>Rabindranath Tagore / by Mary M. Lago.</t>
        </is>
      </c>
      <c r="F576" t="inlineStr">
        <is>
          <t>No</t>
        </is>
      </c>
      <c r="G576" t="inlineStr">
        <is>
          <t>1</t>
        </is>
      </c>
      <c r="H576" t="inlineStr">
        <is>
          <t>No</t>
        </is>
      </c>
      <c r="I576" t="inlineStr">
        <is>
          <t>No</t>
        </is>
      </c>
      <c r="J576" t="inlineStr">
        <is>
          <t>0</t>
        </is>
      </c>
      <c r="K576" t="inlineStr">
        <is>
          <t>Lago, Mary.</t>
        </is>
      </c>
      <c r="L576" t="inlineStr">
        <is>
          <t>Boston : Twayne Publishers, c1976.</t>
        </is>
      </c>
      <c r="M576" t="inlineStr">
        <is>
          <t>1976</t>
        </is>
      </c>
      <c r="O576" t="inlineStr">
        <is>
          <t>eng</t>
        </is>
      </c>
      <c r="P576" t="inlineStr">
        <is>
          <t>mau</t>
        </is>
      </c>
      <c r="Q576" t="inlineStr">
        <is>
          <t>Twayne's world authors series ; TWAS 402 : India</t>
        </is>
      </c>
      <c r="R576" t="inlineStr">
        <is>
          <t xml:space="preserve">PK </t>
        </is>
      </c>
      <c r="S576" t="n">
        <v>19</v>
      </c>
      <c r="T576" t="n">
        <v>19</v>
      </c>
      <c r="U576" t="inlineStr">
        <is>
          <t>2005-04-01</t>
        </is>
      </c>
      <c r="V576" t="inlineStr">
        <is>
          <t>2005-04-01</t>
        </is>
      </c>
      <c r="W576" t="inlineStr">
        <is>
          <t>1997-09-16</t>
        </is>
      </c>
      <c r="X576" t="inlineStr">
        <is>
          <t>1997-09-16</t>
        </is>
      </c>
      <c r="Y576" t="n">
        <v>575</v>
      </c>
      <c r="Z576" t="n">
        <v>513</v>
      </c>
      <c r="AA576" t="n">
        <v>619</v>
      </c>
      <c r="AB576" t="n">
        <v>4</v>
      </c>
      <c r="AC576" t="n">
        <v>4</v>
      </c>
      <c r="AD576" t="n">
        <v>23</v>
      </c>
      <c r="AE576" t="n">
        <v>25</v>
      </c>
      <c r="AF576" t="n">
        <v>10</v>
      </c>
      <c r="AG576" t="n">
        <v>11</v>
      </c>
      <c r="AH576" t="n">
        <v>6</v>
      </c>
      <c r="AI576" t="n">
        <v>6</v>
      </c>
      <c r="AJ576" t="n">
        <v>12</v>
      </c>
      <c r="AK576" t="n">
        <v>13</v>
      </c>
      <c r="AL576" t="n">
        <v>3</v>
      </c>
      <c r="AM576" t="n">
        <v>3</v>
      </c>
      <c r="AN576" t="n">
        <v>0</v>
      </c>
      <c r="AO576" t="n">
        <v>0</v>
      </c>
      <c r="AP576" t="inlineStr">
        <is>
          <t>No</t>
        </is>
      </c>
      <c r="AQ576" t="inlineStr">
        <is>
          <t>Yes</t>
        </is>
      </c>
      <c r="AR576">
        <f>HYPERLINK("http://catalog.hathitrust.org/Record/000715627","HathiTrust Record")</f>
        <v/>
      </c>
      <c r="AS576">
        <f>HYPERLINK("https://creighton-primo.hosted.exlibrisgroup.com/primo-explore/search?tab=default_tab&amp;search_scope=EVERYTHING&amp;vid=01CRU&amp;lang=en_US&amp;offset=0&amp;query=any,contains,991004021149702656","Catalog Record")</f>
        <v/>
      </c>
      <c r="AT576">
        <f>HYPERLINK("http://www.worldcat.org/oclc/2121545","WorldCat Record")</f>
        <v/>
      </c>
      <c r="AU576" t="inlineStr">
        <is>
          <t>9415021945:eng</t>
        </is>
      </c>
      <c r="AV576" t="inlineStr">
        <is>
          <t>2121545</t>
        </is>
      </c>
      <c r="AW576" t="inlineStr">
        <is>
          <t>991004021149702656</t>
        </is>
      </c>
      <c r="AX576" t="inlineStr">
        <is>
          <t>991004021149702656</t>
        </is>
      </c>
      <c r="AY576" t="inlineStr">
        <is>
          <t>2267260620002656</t>
        </is>
      </c>
      <c r="AZ576" t="inlineStr">
        <is>
          <t>BOOK</t>
        </is>
      </c>
      <c r="BB576" t="inlineStr">
        <is>
          <t>9780805762426</t>
        </is>
      </c>
      <c r="BC576" t="inlineStr">
        <is>
          <t>32285003223624</t>
        </is>
      </c>
      <c r="BD576" t="inlineStr">
        <is>
          <t>893331118</t>
        </is>
      </c>
    </row>
    <row r="577">
      <c r="A577" t="inlineStr">
        <is>
          <t>No</t>
        </is>
      </c>
      <c r="B577" t="inlineStr">
        <is>
          <t>PK1725.A4313 D5 1975</t>
        </is>
      </c>
      <c r="C577" t="inlineStr">
        <is>
          <t>0                      PK 1725000A  4313               D  5           1975</t>
        </is>
      </c>
      <c r="D577" t="inlineStr">
        <is>
          <t>The diary of a westward voyage / by Rabindranath Tagore ; translated by Indu Dutt from the original Bengali Pashchim yatrir diary.</t>
        </is>
      </c>
      <c r="F577" t="inlineStr">
        <is>
          <t>No</t>
        </is>
      </c>
      <c r="G577" t="inlineStr">
        <is>
          <t>1</t>
        </is>
      </c>
      <c r="H577" t="inlineStr">
        <is>
          <t>No</t>
        </is>
      </c>
      <c r="I577" t="inlineStr">
        <is>
          <t>No</t>
        </is>
      </c>
      <c r="J577" t="inlineStr">
        <is>
          <t>0</t>
        </is>
      </c>
      <c r="K577" t="inlineStr">
        <is>
          <t>Tagore, Rabindranath, 1861-1941.</t>
        </is>
      </c>
      <c r="L577" t="inlineStr">
        <is>
          <t>Westport, Conn. : Greenwood Press, 1975, c1962.</t>
        </is>
      </c>
      <c r="M577" t="inlineStr">
        <is>
          <t>1975</t>
        </is>
      </c>
      <c r="O577" t="inlineStr">
        <is>
          <t>eng</t>
        </is>
      </c>
      <c r="P577" t="inlineStr">
        <is>
          <t>ctu</t>
        </is>
      </c>
      <c r="R577" t="inlineStr">
        <is>
          <t xml:space="preserve">PK </t>
        </is>
      </c>
      <c r="S577" t="n">
        <v>7</v>
      </c>
      <c r="T577" t="n">
        <v>7</v>
      </c>
      <c r="U577" t="inlineStr">
        <is>
          <t>2005-03-15</t>
        </is>
      </c>
      <c r="V577" t="inlineStr">
        <is>
          <t>2005-03-15</t>
        </is>
      </c>
      <c r="W577" t="inlineStr">
        <is>
          <t>1997-09-16</t>
        </is>
      </c>
      <c r="X577" t="inlineStr">
        <is>
          <t>1997-09-16</t>
        </is>
      </c>
      <c r="Y577" t="n">
        <v>85</v>
      </c>
      <c r="Z577" t="n">
        <v>70</v>
      </c>
      <c r="AA577" t="n">
        <v>227</v>
      </c>
      <c r="AB577" t="n">
        <v>1</v>
      </c>
      <c r="AC577" t="n">
        <v>2</v>
      </c>
      <c r="AD577" t="n">
        <v>2</v>
      </c>
      <c r="AE577" t="n">
        <v>8</v>
      </c>
      <c r="AF577" t="n">
        <v>1</v>
      </c>
      <c r="AG577" t="n">
        <v>3</v>
      </c>
      <c r="AH577" t="n">
        <v>1</v>
      </c>
      <c r="AI577" t="n">
        <v>2</v>
      </c>
      <c r="AJ577" t="n">
        <v>1</v>
      </c>
      <c r="AK577" t="n">
        <v>4</v>
      </c>
      <c r="AL577" t="n">
        <v>0</v>
      </c>
      <c r="AM577" t="n">
        <v>1</v>
      </c>
      <c r="AN577" t="n">
        <v>0</v>
      </c>
      <c r="AO577" t="n">
        <v>0</v>
      </c>
      <c r="AP577" t="inlineStr">
        <is>
          <t>No</t>
        </is>
      </c>
      <c r="AQ577" t="inlineStr">
        <is>
          <t>No</t>
        </is>
      </c>
      <c r="AS577">
        <f>HYPERLINK("https://creighton-primo.hosted.exlibrisgroup.com/primo-explore/search?tab=default_tab&amp;search_scope=EVERYTHING&amp;vid=01CRU&amp;lang=en_US&amp;offset=0&amp;query=any,contains,991003551329702656","Catalog Record")</f>
        <v/>
      </c>
      <c r="AT577">
        <f>HYPERLINK("http://www.worldcat.org/oclc/1119568","WorldCat Record")</f>
        <v/>
      </c>
      <c r="AU577" t="inlineStr">
        <is>
          <t>1413604:eng</t>
        </is>
      </c>
      <c r="AV577" t="inlineStr">
        <is>
          <t>1119568</t>
        </is>
      </c>
      <c r="AW577" t="inlineStr">
        <is>
          <t>991003551329702656</t>
        </is>
      </c>
      <c r="AX577" t="inlineStr">
        <is>
          <t>991003551329702656</t>
        </is>
      </c>
      <c r="AY577" t="inlineStr">
        <is>
          <t>2256021610002656</t>
        </is>
      </c>
      <c r="AZ577" t="inlineStr">
        <is>
          <t>BOOK</t>
        </is>
      </c>
      <c r="BB577" t="inlineStr">
        <is>
          <t>9780837179049</t>
        </is>
      </c>
      <c r="BC577" t="inlineStr">
        <is>
          <t>32285003223608</t>
        </is>
      </c>
      <c r="BD577" t="inlineStr">
        <is>
          <t>893793725</t>
        </is>
      </c>
    </row>
    <row r="578">
      <c r="A578" t="inlineStr">
        <is>
          <t>No</t>
        </is>
      </c>
      <c r="B578" t="inlineStr">
        <is>
          <t>PK1725.G489 L3 1975</t>
        </is>
      </c>
      <c r="C578" t="inlineStr">
        <is>
          <t>0                      PK 1725000G  489                L  3           1975</t>
        </is>
      </c>
      <c r="D578" t="inlineStr">
        <is>
          <t>The later poems of Tagore / Sisirkumar Ghose.</t>
        </is>
      </c>
      <c r="F578" t="inlineStr">
        <is>
          <t>No</t>
        </is>
      </c>
      <c r="G578" t="inlineStr">
        <is>
          <t>1</t>
        </is>
      </c>
      <c r="H578" t="inlineStr">
        <is>
          <t>No</t>
        </is>
      </c>
      <c r="I578" t="inlineStr">
        <is>
          <t>No</t>
        </is>
      </c>
      <c r="J578" t="inlineStr">
        <is>
          <t>0</t>
        </is>
      </c>
      <c r="K578" t="inlineStr">
        <is>
          <t>Ghose, Sisirkumar.</t>
        </is>
      </c>
      <c r="L578" t="inlineStr">
        <is>
          <t>Westport, Conn. : Greenwood Press, 1975, c1961.</t>
        </is>
      </c>
      <c r="M578" t="inlineStr">
        <is>
          <t>1975</t>
        </is>
      </c>
      <c r="O578" t="inlineStr">
        <is>
          <t>eng</t>
        </is>
      </c>
      <c r="P578" t="inlineStr">
        <is>
          <t>ctu</t>
        </is>
      </c>
      <c r="R578" t="inlineStr">
        <is>
          <t xml:space="preserve">PK </t>
        </is>
      </c>
      <c r="S578" t="n">
        <v>7</v>
      </c>
      <c r="T578" t="n">
        <v>7</v>
      </c>
      <c r="U578" t="inlineStr">
        <is>
          <t>2005-03-15</t>
        </is>
      </c>
      <c r="V578" t="inlineStr">
        <is>
          <t>2005-03-15</t>
        </is>
      </c>
      <c r="W578" t="inlineStr">
        <is>
          <t>1997-09-16</t>
        </is>
      </c>
      <c r="X578" t="inlineStr">
        <is>
          <t>1997-09-16</t>
        </is>
      </c>
      <c r="Y578" t="n">
        <v>60</v>
      </c>
      <c r="Z578" t="n">
        <v>52</v>
      </c>
      <c r="AA578" t="n">
        <v>206</v>
      </c>
      <c r="AB578" t="n">
        <v>1</v>
      </c>
      <c r="AC578" t="n">
        <v>2</v>
      </c>
      <c r="AD578" t="n">
        <v>2</v>
      </c>
      <c r="AE578" t="n">
        <v>6</v>
      </c>
      <c r="AF578" t="n">
        <v>1</v>
      </c>
      <c r="AG578" t="n">
        <v>2</v>
      </c>
      <c r="AH578" t="n">
        <v>1</v>
      </c>
      <c r="AI578" t="n">
        <v>1</v>
      </c>
      <c r="AJ578" t="n">
        <v>1</v>
      </c>
      <c r="AK578" t="n">
        <v>4</v>
      </c>
      <c r="AL578" t="n">
        <v>0</v>
      </c>
      <c r="AM578" t="n">
        <v>1</v>
      </c>
      <c r="AN578" t="n">
        <v>0</v>
      </c>
      <c r="AO578" t="n">
        <v>0</v>
      </c>
      <c r="AP578" t="inlineStr">
        <is>
          <t>No</t>
        </is>
      </c>
      <c r="AQ578" t="inlineStr">
        <is>
          <t>No</t>
        </is>
      </c>
      <c r="AS578">
        <f>HYPERLINK("https://creighton-primo.hosted.exlibrisgroup.com/primo-explore/search?tab=default_tab&amp;search_scope=EVERYTHING&amp;vid=01CRU&amp;lang=en_US&amp;offset=0&amp;query=any,contains,991003553159702656","Catalog Record")</f>
        <v/>
      </c>
      <c r="AT578">
        <f>HYPERLINK("http://www.worldcat.org/oclc/1120994","WorldCat Record")</f>
        <v/>
      </c>
      <c r="AU578" t="inlineStr">
        <is>
          <t>2024589:eng</t>
        </is>
      </c>
      <c r="AV578" t="inlineStr">
        <is>
          <t>1120994</t>
        </is>
      </c>
      <c r="AW578" t="inlineStr">
        <is>
          <t>991003553159702656</t>
        </is>
      </c>
      <c r="AX578" t="inlineStr">
        <is>
          <t>991003553159702656</t>
        </is>
      </c>
      <c r="AY578" t="inlineStr">
        <is>
          <t>2268816870002656</t>
        </is>
      </c>
      <c r="AZ578" t="inlineStr">
        <is>
          <t>BOOK</t>
        </is>
      </c>
      <c r="BB578" t="inlineStr">
        <is>
          <t>9780837179025</t>
        </is>
      </c>
      <c r="BC578" t="inlineStr">
        <is>
          <t>32285003223616</t>
        </is>
      </c>
      <c r="BD578" t="inlineStr">
        <is>
          <t>893793729</t>
        </is>
      </c>
    </row>
    <row r="579">
      <c r="A579" t="inlineStr">
        <is>
          <t>No</t>
        </is>
      </c>
      <c r="B579" t="inlineStr">
        <is>
          <t>PK1771.E3 I5 1981</t>
        </is>
      </c>
      <c r="C579" t="inlineStr">
        <is>
          <t>0                      PK 1771000E  3                  I  5           1981</t>
        </is>
      </c>
      <c r="D579" t="inlineStr">
        <is>
          <t>In praise of Krishna : songs from the Bengali / translated by Edward C. Dimock, Jr. and Denise Levertov ; with an introduction and notes by Edward C. Dimock, Jr. ; illustrations by Anju Chaudhuri.</t>
        </is>
      </c>
      <c r="F579" t="inlineStr">
        <is>
          <t>No</t>
        </is>
      </c>
      <c r="G579" t="inlineStr">
        <is>
          <t>1</t>
        </is>
      </c>
      <c r="H579" t="inlineStr">
        <is>
          <t>No</t>
        </is>
      </c>
      <c r="I579" t="inlineStr">
        <is>
          <t>No</t>
        </is>
      </c>
      <c r="J579" t="inlineStr">
        <is>
          <t>0</t>
        </is>
      </c>
      <c r="L579" t="inlineStr">
        <is>
          <t>Chicago : University of Chicago Press, 1981, c1967.</t>
        </is>
      </c>
      <c r="M579" t="inlineStr">
        <is>
          <t>1981</t>
        </is>
      </c>
      <c r="N579" t="inlineStr">
        <is>
          <t>Phoenix ed.</t>
        </is>
      </c>
      <c r="O579" t="inlineStr">
        <is>
          <t>eng</t>
        </is>
      </c>
      <c r="P579" t="inlineStr">
        <is>
          <t>ilu</t>
        </is>
      </c>
      <c r="R579" t="inlineStr">
        <is>
          <t xml:space="preserve">PK </t>
        </is>
      </c>
      <c r="S579" t="n">
        <v>2</v>
      </c>
      <c r="T579" t="n">
        <v>2</v>
      </c>
      <c r="U579" t="inlineStr">
        <is>
          <t>1998-04-03</t>
        </is>
      </c>
      <c r="V579" t="inlineStr">
        <is>
          <t>1998-04-03</t>
        </is>
      </c>
      <c r="W579" t="inlineStr">
        <is>
          <t>1997-04-09</t>
        </is>
      </c>
      <c r="X579" t="inlineStr">
        <is>
          <t>1997-04-09</t>
        </is>
      </c>
      <c r="Y579" t="n">
        <v>121</v>
      </c>
      <c r="Z579" t="n">
        <v>106</v>
      </c>
      <c r="AA579" t="n">
        <v>564</v>
      </c>
      <c r="AB579" t="n">
        <v>1</v>
      </c>
      <c r="AC579" t="n">
        <v>3</v>
      </c>
      <c r="AD579" t="n">
        <v>6</v>
      </c>
      <c r="AE579" t="n">
        <v>23</v>
      </c>
      <c r="AF579" t="n">
        <v>4</v>
      </c>
      <c r="AG579" t="n">
        <v>12</v>
      </c>
      <c r="AH579" t="n">
        <v>3</v>
      </c>
      <c r="AI579" t="n">
        <v>5</v>
      </c>
      <c r="AJ579" t="n">
        <v>4</v>
      </c>
      <c r="AK579" t="n">
        <v>12</v>
      </c>
      <c r="AL579" t="n">
        <v>0</v>
      </c>
      <c r="AM579" t="n">
        <v>2</v>
      </c>
      <c r="AN579" t="n">
        <v>0</v>
      </c>
      <c r="AO579" t="n">
        <v>0</v>
      </c>
      <c r="AP579" t="inlineStr">
        <is>
          <t>No</t>
        </is>
      </c>
      <c r="AQ579" t="inlineStr">
        <is>
          <t>No</t>
        </is>
      </c>
      <c r="AS579">
        <f>HYPERLINK("https://creighton-primo.hosted.exlibrisgroup.com/primo-explore/search?tab=default_tab&amp;search_scope=EVERYTHING&amp;vid=01CRU&amp;lang=en_US&amp;offset=0&amp;query=any,contains,991005130379702656","Catalog Record")</f>
        <v/>
      </c>
      <c r="AT579">
        <f>HYPERLINK("http://www.worldcat.org/oclc/7571845","WorldCat Record")</f>
        <v/>
      </c>
      <c r="AU579" t="inlineStr">
        <is>
          <t>143531334:eng</t>
        </is>
      </c>
      <c r="AV579" t="inlineStr">
        <is>
          <t>7571845</t>
        </is>
      </c>
      <c r="AW579" t="inlineStr">
        <is>
          <t>991005130379702656</t>
        </is>
      </c>
      <c r="AX579" t="inlineStr">
        <is>
          <t>991005130379702656</t>
        </is>
      </c>
      <c r="AY579" t="inlineStr">
        <is>
          <t>2271970210002656</t>
        </is>
      </c>
      <c r="AZ579" t="inlineStr">
        <is>
          <t>BOOK</t>
        </is>
      </c>
      <c r="BB579" t="inlineStr">
        <is>
          <t>9780226152318</t>
        </is>
      </c>
      <c r="BC579" t="inlineStr">
        <is>
          <t>32285002495819</t>
        </is>
      </c>
      <c r="BD579" t="inlineStr">
        <is>
          <t>893776876</t>
        </is>
      </c>
    </row>
    <row r="580">
      <c r="A580" t="inlineStr">
        <is>
          <t>No</t>
        </is>
      </c>
      <c r="B580" t="inlineStr">
        <is>
          <t>PK2098.S7 Z597</t>
        </is>
      </c>
      <c r="C580" t="inlineStr">
        <is>
          <t>0                      PK 2098000S  7                  Z  597</t>
        </is>
      </c>
      <c r="D580" t="inlineStr">
        <is>
          <t>Munshi Prem Chand / by Govind Narain. --</t>
        </is>
      </c>
      <c r="F580" t="inlineStr">
        <is>
          <t>No</t>
        </is>
      </c>
      <c r="G580" t="inlineStr">
        <is>
          <t>1</t>
        </is>
      </c>
      <c r="H580" t="inlineStr">
        <is>
          <t>No</t>
        </is>
      </c>
      <c r="I580" t="inlineStr">
        <is>
          <t>No</t>
        </is>
      </c>
      <c r="J580" t="inlineStr">
        <is>
          <t>0</t>
        </is>
      </c>
      <c r="K580" t="inlineStr">
        <is>
          <t>Govind Narain, 1927-</t>
        </is>
      </c>
      <c r="L580" t="inlineStr">
        <is>
          <t>Boston : Twayne Publishers, c1978.</t>
        </is>
      </c>
      <c r="M580" t="inlineStr">
        <is>
          <t>1978</t>
        </is>
      </c>
      <c r="O580" t="inlineStr">
        <is>
          <t>eng</t>
        </is>
      </c>
      <c r="P580" t="inlineStr">
        <is>
          <t>mau</t>
        </is>
      </c>
      <c r="Q580" t="inlineStr">
        <is>
          <t>Twayne's world authors series ; TWAS 488 : India</t>
        </is>
      </c>
      <c r="R580" t="inlineStr">
        <is>
          <t xml:space="preserve">PK </t>
        </is>
      </c>
      <c r="S580" t="n">
        <v>6</v>
      </c>
      <c r="T580" t="n">
        <v>6</v>
      </c>
      <c r="U580" t="inlineStr">
        <is>
          <t>2000-04-12</t>
        </is>
      </c>
      <c r="V580" t="inlineStr">
        <is>
          <t>2000-04-12</t>
        </is>
      </c>
      <c r="W580" t="inlineStr">
        <is>
          <t>1993-05-04</t>
        </is>
      </c>
      <c r="X580" t="inlineStr">
        <is>
          <t>1993-05-04</t>
        </is>
      </c>
      <c r="Y580" t="n">
        <v>408</v>
      </c>
      <c r="Z580" t="n">
        <v>362</v>
      </c>
      <c r="AA580" t="n">
        <v>368</v>
      </c>
      <c r="AB580" t="n">
        <v>3</v>
      </c>
      <c r="AC580" t="n">
        <v>3</v>
      </c>
      <c r="AD580" t="n">
        <v>18</v>
      </c>
      <c r="AE580" t="n">
        <v>18</v>
      </c>
      <c r="AF580" t="n">
        <v>7</v>
      </c>
      <c r="AG580" t="n">
        <v>7</v>
      </c>
      <c r="AH580" t="n">
        <v>4</v>
      </c>
      <c r="AI580" t="n">
        <v>4</v>
      </c>
      <c r="AJ580" t="n">
        <v>11</v>
      </c>
      <c r="AK580" t="n">
        <v>11</v>
      </c>
      <c r="AL580" t="n">
        <v>2</v>
      </c>
      <c r="AM580" t="n">
        <v>2</v>
      </c>
      <c r="AN580" t="n">
        <v>0</v>
      </c>
      <c r="AO580" t="n">
        <v>0</v>
      </c>
      <c r="AP580" t="inlineStr">
        <is>
          <t>No</t>
        </is>
      </c>
      <c r="AQ580" t="inlineStr">
        <is>
          <t>Yes</t>
        </is>
      </c>
      <c r="AR580">
        <f>HYPERLINK("http://catalog.hathitrust.org/Record/000091569","HathiTrust Record")</f>
        <v/>
      </c>
      <c r="AS580">
        <f>HYPERLINK("https://creighton-primo.hosted.exlibrisgroup.com/primo-explore/search?tab=default_tab&amp;search_scope=EVERYTHING&amp;vid=01CRU&amp;lang=en_US&amp;offset=0&amp;query=any,contains,991004475989702656","Catalog Record")</f>
        <v/>
      </c>
      <c r="AT580">
        <f>HYPERLINK("http://www.worldcat.org/oclc/3609293","WorldCat Record")</f>
        <v/>
      </c>
      <c r="AU580" t="inlineStr">
        <is>
          <t>11163564:eng</t>
        </is>
      </c>
      <c r="AV580" t="inlineStr">
        <is>
          <t>3609293</t>
        </is>
      </c>
      <c r="AW580" t="inlineStr">
        <is>
          <t>991004475989702656</t>
        </is>
      </c>
      <c r="AX580" t="inlineStr">
        <is>
          <t>991004475989702656</t>
        </is>
      </c>
      <c r="AY580" t="inlineStr">
        <is>
          <t>2271680300002656</t>
        </is>
      </c>
      <c r="AZ580" t="inlineStr">
        <is>
          <t>BOOK</t>
        </is>
      </c>
      <c r="BB580" t="inlineStr">
        <is>
          <t>9780805763294</t>
        </is>
      </c>
      <c r="BC580" t="inlineStr">
        <is>
          <t>32285001671451</t>
        </is>
      </c>
      <c r="BD580" t="inlineStr">
        <is>
          <t>893693990</t>
        </is>
      </c>
    </row>
    <row r="581">
      <c r="A581" t="inlineStr">
        <is>
          <t>No</t>
        </is>
      </c>
      <c r="B581" t="inlineStr">
        <is>
          <t>PK2141.E3 S66 1988</t>
        </is>
      </c>
      <c r="C581" t="inlineStr">
        <is>
          <t>0                      PK 2141000E  3                  S  66          1988</t>
        </is>
      </c>
      <c r="D581" t="inlineStr">
        <is>
          <t>Songs of the saints of India / text and notes by John Stratton Hawley ; translations by J.S. Hawley and Mark Juergensmeyer.</t>
        </is>
      </c>
      <c r="F581" t="inlineStr">
        <is>
          <t>No</t>
        </is>
      </c>
      <c r="G581" t="inlineStr">
        <is>
          <t>1</t>
        </is>
      </c>
      <c r="H581" t="inlineStr">
        <is>
          <t>No</t>
        </is>
      </c>
      <c r="I581" t="inlineStr">
        <is>
          <t>No</t>
        </is>
      </c>
      <c r="J581" t="inlineStr">
        <is>
          <t>0</t>
        </is>
      </c>
      <c r="L581" t="inlineStr">
        <is>
          <t>New York : Oxford University Press, 1988.</t>
        </is>
      </c>
      <c r="M581" t="inlineStr">
        <is>
          <t>1988</t>
        </is>
      </c>
      <c r="O581" t="inlineStr">
        <is>
          <t>eng</t>
        </is>
      </c>
      <c r="P581" t="inlineStr">
        <is>
          <t>nyu</t>
        </is>
      </c>
      <c r="R581" t="inlineStr">
        <is>
          <t xml:space="preserve">PK </t>
        </is>
      </c>
      <c r="S581" t="n">
        <v>4</v>
      </c>
      <c r="T581" t="n">
        <v>4</v>
      </c>
      <c r="U581" t="inlineStr">
        <is>
          <t>1998-05-01</t>
        </is>
      </c>
      <c r="V581" t="inlineStr">
        <is>
          <t>1998-05-01</t>
        </is>
      </c>
      <c r="W581" t="inlineStr">
        <is>
          <t>1997-04-02</t>
        </is>
      </c>
      <c r="X581" t="inlineStr">
        <is>
          <t>1997-04-02</t>
        </is>
      </c>
      <c r="Y581" t="n">
        <v>517</v>
      </c>
      <c r="Z581" t="n">
        <v>437</v>
      </c>
      <c r="AA581" t="n">
        <v>487</v>
      </c>
      <c r="AB581" t="n">
        <v>1</v>
      </c>
      <c r="AC581" t="n">
        <v>1</v>
      </c>
      <c r="AD581" t="n">
        <v>28</v>
      </c>
      <c r="AE581" t="n">
        <v>32</v>
      </c>
      <c r="AF581" t="n">
        <v>14</v>
      </c>
      <c r="AG581" t="n">
        <v>16</v>
      </c>
      <c r="AH581" t="n">
        <v>8</v>
      </c>
      <c r="AI581" t="n">
        <v>9</v>
      </c>
      <c r="AJ581" t="n">
        <v>15</v>
      </c>
      <c r="AK581" t="n">
        <v>17</v>
      </c>
      <c r="AL581" t="n">
        <v>0</v>
      </c>
      <c r="AM581" t="n">
        <v>0</v>
      </c>
      <c r="AN581" t="n">
        <v>0</v>
      </c>
      <c r="AO581" t="n">
        <v>0</v>
      </c>
      <c r="AP581" t="inlineStr">
        <is>
          <t>No</t>
        </is>
      </c>
      <c r="AQ581" t="inlineStr">
        <is>
          <t>No</t>
        </is>
      </c>
      <c r="AS581">
        <f>HYPERLINK("https://creighton-primo.hosted.exlibrisgroup.com/primo-explore/search?tab=default_tab&amp;search_scope=EVERYTHING&amp;vid=01CRU&amp;lang=en_US&amp;offset=0&amp;query=any,contains,991001133209702656","Catalog Record")</f>
        <v/>
      </c>
      <c r="AT581">
        <f>HYPERLINK("http://www.worldcat.org/oclc/16685244","WorldCat Record")</f>
        <v/>
      </c>
      <c r="AU581" t="inlineStr">
        <is>
          <t>350755423:eng</t>
        </is>
      </c>
      <c r="AV581" t="inlineStr">
        <is>
          <t>16685244</t>
        </is>
      </c>
      <c r="AW581" t="inlineStr">
        <is>
          <t>991001133209702656</t>
        </is>
      </c>
      <c r="AX581" t="inlineStr">
        <is>
          <t>991001133209702656</t>
        </is>
      </c>
      <c r="AY581" t="inlineStr">
        <is>
          <t>2271391840002656</t>
        </is>
      </c>
      <c r="AZ581" t="inlineStr">
        <is>
          <t>BOOK</t>
        </is>
      </c>
      <c r="BB581" t="inlineStr">
        <is>
          <t>9780195052206</t>
        </is>
      </c>
      <c r="BC581" t="inlineStr">
        <is>
          <t>32285002477817</t>
        </is>
      </c>
      <c r="BD581" t="inlineStr">
        <is>
          <t>893590049</t>
        </is>
      </c>
    </row>
    <row r="582">
      <c r="A582" t="inlineStr">
        <is>
          <t>No</t>
        </is>
      </c>
      <c r="B582" t="inlineStr">
        <is>
          <t>PK2198.G4 A6 1989</t>
        </is>
      </c>
      <c r="C582" t="inlineStr">
        <is>
          <t>0                      PK 2198000G  4                  A  6           1989</t>
        </is>
      </c>
      <c r="D582" t="inlineStr">
        <is>
          <t>Ghazals of Ghalib / translated and arranged by Basho Swanner.</t>
        </is>
      </c>
      <c r="F582" t="inlineStr">
        <is>
          <t>No</t>
        </is>
      </c>
      <c r="G582" t="inlineStr">
        <is>
          <t>1</t>
        </is>
      </c>
      <c r="H582" t="inlineStr">
        <is>
          <t>No</t>
        </is>
      </c>
      <c r="I582" t="inlineStr">
        <is>
          <t>No</t>
        </is>
      </c>
      <c r="J582" t="inlineStr">
        <is>
          <t>0</t>
        </is>
      </c>
      <c r="K582" t="inlineStr">
        <is>
          <t>Ghalib, Mirza Asadullah Khan, 1797-1869.</t>
        </is>
      </c>
      <c r="L582" t="inlineStr">
        <is>
          <t>Santa Barbara, Calif. : Bandanna Books, 1989.</t>
        </is>
      </c>
      <c r="M582" t="inlineStr">
        <is>
          <t>1989</t>
        </is>
      </c>
      <c r="O582" t="inlineStr">
        <is>
          <t>eng</t>
        </is>
      </c>
      <c r="P582" t="inlineStr">
        <is>
          <t>cau</t>
        </is>
      </c>
      <c r="Q582" t="inlineStr">
        <is>
          <t>Little humanist classics</t>
        </is>
      </c>
      <c r="R582" t="inlineStr">
        <is>
          <t xml:space="preserve">PK </t>
        </is>
      </c>
      <c r="S582" t="n">
        <v>2</v>
      </c>
      <c r="T582" t="n">
        <v>2</v>
      </c>
      <c r="U582" t="inlineStr">
        <is>
          <t>2003-10-01</t>
        </is>
      </c>
      <c r="V582" t="inlineStr">
        <is>
          <t>2003-10-01</t>
        </is>
      </c>
      <c r="W582" t="inlineStr">
        <is>
          <t>1997-09-22</t>
        </is>
      </c>
      <c r="X582" t="inlineStr">
        <is>
          <t>1997-09-22</t>
        </is>
      </c>
      <c r="Y582" t="n">
        <v>10</v>
      </c>
      <c r="Z582" t="n">
        <v>10</v>
      </c>
      <c r="AA582" t="n">
        <v>10</v>
      </c>
      <c r="AB582" t="n">
        <v>1</v>
      </c>
      <c r="AC582" t="n">
        <v>1</v>
      </c>
      <c r="AD582" t="n">
        <v>0</v>
      </c>
      <c r="AE582" t="n">
        <v>0</v>
      </c>
      <c r="AF582" t="n">
        <v>0</v>
      </c>
      <c r="AG582" t="n">
        <v>0</v>
      </c>
      <c r="AH582" t="n">
        <v>0</v>
      </c>
      <c r="AI582" t="n">
        <v>0</v>
      </c>
      <c r="AJ582" t="n">
        <v>0</v>
      </c>
      <c r="AK582" t="n">
        <v>0</v>
      </c>
      <c r="AL582" t="n">
        <v>0</v>
      </c>
      <c r="AM582" t="n">
        <v>0</v>
      </c>
      <c r="AN582" t="n">
        <v>0</v>
      </c>
      <c r="AO582" t="n">
        <v>0</v>
      </c>
      <c r="AP582" t="inlineStr">
        <is>
          <t>No</t>
        </is>
      </c>
      <c r="AQ582" t="inlineStr">
        <is>
          <t>No</t>
        </is>
      </c>
      <c r="AS582">
        <f>HYPERLINK("https://creighton-primo.hosted.exlibrisgroup.com/primo-explore/search?tab=default_tab&amp;search_scope=EVERYTHING&amp;vid=01CRU&amp;lang=en_US&amp;offset=0&amp;query=any,contains,991002053449702656","Catalog Record")</f>
        <v/>
      </c>
      <c r="AT582">
        <f>HYPERLINK("http://www.worldcat.org/oclc/26220617","WorldCat Record")</f>
        <v/>
      </c>
      <c r="AU582" t="inlineStr">
        <is>
          <t>5091003582:eng</t>
        </is>
      </c>
      <c r="AV582" t="inlineStr">
        <is>
          <t>26220617</t>
        </is>
      </c>
      <c r="AW582" t="inlineStr">
        <is>
          <t>991002053449702656</t>
        </is>
      </c>
      <c r="AX582" t="inlineStr">
        <is>
          <t>991002053449702656</t>
        </is>
      </c>
      <c r="AY582" t="inlineStr">
        <is>
          <t>2270928460002656</t>
        </is>
      </c>
      <c r="AZ582" t="inlineStr">
        <is>
          <t>BOOK</t>
        </is>
      </c>
      <c r="BB582" t="inlineStr">
        <is>
          <t>9780942208061</t>
        </is>
      </c>
      <c r="BC582" t="inlineStr">
        <is>
          <t>32285003176673</t>
        </is>
      </c>
      <c r="BD582" t="inlineStr">
        <is>
          <t>893414761</t>
        </is>
      </c>
    </row>
    <row r="583">
      <c r="A583" t="inlineStr">
        <is>
          <t>No</t>
        </is>
      </c>
      <c r="B583" t="inlineStr">
        <is>
          <t>PK2903 .K45</t>
        </is>
      </c>
      <c r="C583" t="inlineStr">
        <is>
          <t>0                      PK 2903000K  45</t>
        </is>
      </c>
      <c r="D583" t="inlineStr">
        <is>
          <t>A history of Sanskrit literature, by A. Berriedale Keith.</t>
        </is>
      </c>
      <c r="F583" t="inlineStr">
        <is>
          <t>No</t>
        </is>
      </c>
      <c r="G583" t="inlineStr">
        <is>
          <t>1</t>
        </is>
      </c>
      <c r="H583" t="inlineStr">
        <is>
          <t>No</t>
        </is>
      </c>
      <c r="I583" t="inlineStr">
        <is>
          <t>No</t>
        </is>
      </c>
      <c r="J583" t="inlineStr">
        <is>
          <t>0</t>
        </is>
      </c>
      <c r="K583" t="inlineStr">
        <is>
          <t>Keith, Arthur Berriedale, 1879-1944.</t>
        </is>
      </c>
      <c r="L583" t="inlineStr">
        <is>
          <t>Oxford, The Clarendon press, 1928.</t>
        </is>
      </c>
      <c r="M583" t="inlineStr">
        <is>
          <t>1928</t>
        </is>
      </c>
      <c r="O583" t="inlineStr">
        <is>
          <t>eng</t>
        </is>
      </c>
      <c r="P583" t="inlineStr">
        <is>
          <t xml:space="preserve">xx </t>
        </is>
      </c>
      <c r="R583" t="inlineStr">
        <is>
          <t xml:space="preserve">PK </t>
        </is>
      </c>
      <c r="S583" t="n">
        <v>2</v>
      </c>
      <c r="T583" t="n">
        <v>2</v>
      </c>
      <c r="U583" t="inlineStr">
        <is>
          <t>1997-10-15</t>
        </is>
      </c>
      <c r="V583" t="inlineStr">
        <is>
          <t>1997-10-15</t>
        </is>
      </c>
      <c r="W583" t="inlineStr">
        <is>
          <t>1997-09-16</t>
        </is>
      </c>
      <c r="X583" t="inlineStr">
        <is>
          <t>1997-09-16</t>
        </is>
      </c>
      <c r="Y583" t="n">
        <v>150</v>
      </c>
      <c r="Z583" t="n">
        <v>118</v>
      </c>
      <c r="AA583" t="n">
        <v>510</v>
      </c>
      <c r="AB583" t="n">
        <v>1</v>
      </c>
      <c r="AC583" t="n">
        <v>3</v>
      </c>
      <c r="AD583" t="n">
        <v>2</v>
      </c>
      <c r="AE583" t="n">
        <v>17</v>
      </c>
      <c r="AF583" t="n">
        <v>0</v>
      </c>
      <c r="AG583" t="n">
        <v>5</v>
      </c>
      <c r="AH583" t="n">
        <v>2</v>
      </c>
      <c r="AI583" t="n">
        <v>5</v>
      </c>
      <c r="AJ583" t="n">
        <v>1</v>
      </c>
      <c r="AK583" t="n">
        <v>10</v>
      </c>
      <c r="AL583" t="n">
        <v>0</v>
      </c>
      <c r="AM583" t="n">
        <v>1</v>
      </c>
      <c r="AN583" t="n">
        <v>0</v>
      </c>
      <c r="AO583" t="n">
        <v>0</v>
      </c>
      <c r="AP583" t="inlineStr">
        <is>
          <t>No</t>
        </is>
      </c>
      <c r="AQ583" t="inlineStr">
        <is>
          <t>No</t>
        </is>
      </c>
      <c r="AR583">
        <f>HYPERLINK("http://catalog.hathitrust.org/Record/007908974","HathiTrust Record")</f>
        <v/>
      </c>
      <c r="AS583">
        <f>HYPERLINK("https://creighton-primo.hosted.exlibrisgroup.com/primo-explore/search?tab=default_tab&amp;search_scope=EVERYTHING&amp;vid=01CRU&amp;lang=en_US&amp;offset=0&amp;query=any,contains,991003546439702656","Catalog Record")</f>
        <v/>
      </c>
      <c r="AT583">
        <f>HYPERLINK("http://www.worldcat.org/oclc/1112580","WorldCat Record")</f>
        <v/>
      </c>
      <c r="AU583" t="inlineStr">
        <is>
          <t>1407166:eng</t>
        </is>
      </c>
      <c r="AV583" t="inlineStr">
        <is>
          <t>1112580</t>
        </is>
      </c>
      <c r="AW583" t="inlineStr">
        <is>
          <t>991003546439702656</t>
        </is>
      </c>
      <c r="AX583" t="inlineStr">
        <is>
          <t>991003546439702656</t>
        </is>
      </c>
      <c r="AY583" t="inlineStr">
        <is>
          <t>2271256920002656</t>
        </is>
      </c>
      <c r="AZ583" t="inlineStr">
        <is>
          <t>BOOK</t>
        </is>
      </c>
      <c r="BC583" t="inlineStr">
        <is>
          <t>32285003223715</t>
        </is>
      </c>
      <c r="BD583" t="inlineStr">
        <is>
          <t>893518603</t>
        </is>
      </c>
    </row>
    <row r="584">
      <c r="A584" t="inlineStr">
        <is>
          <t>No</t>
        </is>
      </c>
      <c r="B584" t="inlineStr">
        <is>
          <t>PK2903 .M3</t>
        </is>
      </c>
      <c r="C584" t="inlineStr">
        <is>
          <t>0                      PK 2903000M  3</t>
        </is>
      </c>
      <c r="D584" t="inlineStr">
        <is>
          <t>A history of Sanskrit literature.</t>
        </is>
      </c>
      <c r="F584" t="inlineStr">
        <is>
          <t>No</t>
        </is>
      </c>
      <c r="G584" t="inlineStr">
        <is>
          <t>1</t>
        </is>
      </c>
      <c r="H584" t="inlineStr">
        <is>
          <t>No</t>
        </is>
      </c>
      <c r="I584" t="inlineStr">
        <is>
          <t>No</t>
        </is>
      </c>
      <c r="J584" t="inlineStr">
        <is>
          <t>0</t>
        </is>
      </c>
      <c r="K584" t="inlineStr">
        <is>
          <t>Macdonell, Arthur Anthony, 1854-1930.</t>
        </is>
      </c>
      <c r="L584" t="inlineStr">
        <is>
          <t>D. Appleton and company [1900]</t>
        </is>
      </c>
      <c r="M584" t="inlineStr">
        <is>
          <t>1900</t>
        </is>
      </c>
      <c r="O584" t="inlineStr">
        <is>
          <t>eng</t>
        </is>
      </c>
      <c r="P584" t="inlineStr">
        <is>
          <t xml:space="preserve">xx </t>
        </is>
      </c>
      <c r="R584" t="inlineStr">
        <is>
          <t xml:space="preserve">PK </t>
        </is>
      </c>
      <c r="S584" t="n">
        <v>3</v>
      </c>
      <c r="T584" t="n">
        <v>3</v>
      </c>
      <c r="U584" t="inlineStr">
        <is>
          <t>1999-02-24</t>
        </is>
      </c>
      <c r="V584" t="inlineStr">
        <is>
          <t>1999-02-24</t>
        </is>
      </c>
      <c r="W584" t="inlineStr">
        <is>
          <t>1997-09-16</t>
        </is>
      </c>
      <c r="X584" t="inlineStr">
        <is>
          <t>1997-09-16</t>
        </is>
      </c>
      <c r="Y584" t="n">
        <v>173</v>
      </c>
      <c r="Z584" t="n">
        <v>163</v>
      </c>
      <c r="AA584" t="n">
        <v>608</v>
      </c>
      <c r="AB584" t="n">
        <v>1</v>
      </c>
      <c r="AC584" t="n">
        <v>4</v>
      </c>
      <c r="AD584" t="n">
        <v>8</v>
      </c>
      <c r="AE584" t="n">
        <v>29</v>
      </c>
      <c r="AF584" t="n">
        <v>2</v>
      </c>
      <c r="AG584" t="n">
        <v>9</v>
      </c>
      <c r="AH584" t="n">
        <v>3</v>
      </c>
      <c r="AI584" t="n">
        <v>8</v>
      </c>
      <c r="AJ584" t="n">
        <v>5</v>
      </c>
      <c r="AK584" t="n">
        <v>16</v>
      </c>
      <c r="AL584" t="n">
        <v>0</v>
      </c>
      <c r="AM584" t="n">
        <v>3</v>
      </c>
      <c r="AN584" t="n">
        <v>0</v>
      </c>
      <c r="AO584" t="n">
        <v>0</v>
      </c>
      <c r="AP584" t="inlineStr">
        <is>
          <t>Yes</t>
        </is>
      </c>
      <c r="AQ584" t="inlineStr">
        <is>
          <t>No</t>
        </is>
      </c>
      <c r="AR584">
        <f>HYPERLINK("http://catalog.hathitrust.org/Record/001332778","HathiTrust Record")</f>
        <v/>
      </c>
      <c r="AS584">
        <f>HYPERLINK("https://creighton-primo.hosted.exlibrisgroup.com/primo-explore/search?tab=default_tab&amp;search_scope=EVERYTHING&amp;vid=01CRU&amp;lang=en_US&amp;offset=0&amp;query=any,contains,991002339359702656","Catalog Record")</f>
        <v/>
      </c>
      <c r="AT584">
        <f>HYPERLINK("http://www.worldcat.org/oclc/323525","WorldCat Record")</f>
        <v/>
      </c>
      <c r="AU584" t="inlineStr">
        <is>
          <t>1124805:eng</t>
        </is>
      </c>
      <c r="AV584" t="inlineStr">
        <is>
          <t>323525</t>
        </is>
      </c>
      <c r="AW584" t="inlineStr">
        <is>
          <t>991002339359702656</t>
        </is>
      </c>
      <c r="AX584" t="inlineStr">
        <is>
          <t>991002339359702656</t>
        </is>
      </c>
      <c r="AY584" t="inlineStr">
        <is>
          <t>2256530140002656</t>
        </is>
      </c>
      <c r="AZ584" t="inlineStr">
        <is>
          <t>BOOK</t>
        </is>
      </c>
      <c r="BC584" t="inlineStr">
        <is>
          <t>32285003223723</t>
        </is>
      </c>
      <c r="BD584" t="inlineStr">
        <is>
          <t>893440051</t>
        </is>
      </c>
    </row>
    <row r="585">
      <c r="A585" t="inlineStr">
        <is>
          <t>No</t>
        </is>
      </c>
      <c r="B585" t="inlineStr">
        <is>
          <t>PK2903 .R543</t>
        </is>
      </c>
      <c r="C585" t="inlineStr">
        <is>
          <t>0                      PK 2903000R  543</t>
        </is>
      </c>
      <c r="D585" t="inlineStr">
        <is>
          <t>Indian literature / translated from the French by Patrick Evans.</t>
        </is>
      </c>
      <c r="F585" t="inlineStr">
        <is>
          <t>No</t>
        </is>
      </c>
      <c r="G585" t="inlineStr">
        <is>
          <t>1</t>
        </is>
      </c>
      <c r="H585" t="inlineStr">
        <is>
          <t>No</t>
        </is>
      </c>
      <c r="I585" t="inlineStr">
        <is>
          <t>No</t>
        </is>
      </c>
      <c r="J585" t="inlineStr">
        <is>
          <t>0</t>
        </is>
      </c>
      <c r="K585" t="inlineStr">
        <is>
          <t>Renou, Louis, 1896-1966.</t>
        </is>
      </c>
      <c r="L585" t="inlineStr">
        <is>
          <t>New York : Walker, [1964]</t>
        </is>
      </c>
      <c r="M585" t="inlineStr">
        <is>
          <t>1964</t>
        </is>
      </c>
      <c r="O585" t="inlineStr">
        <is>
          <t>eng</t>
        </is>
      </c>
      <c r="P585" t="inlineStr">
        <is>
          <t>nyu</t>
        </is>
      </c>
      <c r="Q585" t="inlineStr">
        <is>
          <t>Walker sun books ; SB-27</t>
        </is>
      </c>
      <c r="R585" t="inlineStr">
        <is>
          <t xml:space="preserve">PK </t>
        </is>
      </c>
      <c r="S585" t="n">
        <v>9</v>
      </c>
      <c r="T585" t="n">
        <v>9</v>
      </c>
      <c r="U585" t="inlineStr">
        <is>
          <t>2002-03-20</t>
        </is>
      </c>
      <c r="V585" t="inlineStr">
        <is>
          <t>2002-03-20</t>
        </is>
      </c>
      <c r="W585" t="inlineStr">
        <is>
          <t>1993-09-23</t>
        </is>
      </c>
      <c r="X585" t="inlineStr">
        <is>
          <t>1993-09-23</t>
        </is>
      </c>
      <c r="Y585" t="n">
        <v>311</v>
      </c>
      <c r="Z585" t="n">
        <v>283</v>
      </c>
      <c r="AA585" t="n">
        <v>284</v>
      </c>
      <c r="AB585" t="n">
        <v>1</v>
      </c>
      <c r="AC585" t="n">
        <v>1</v>
      </c>
      <c r="AD585" t="n">
        <v>7</v>
      </c>
      <c r="AE585" t="n">
        <v>7</v>
      </c>
      <c r="AF585" t="n">
        <v>3</v>
      </c>
      <c r="AG585" t="n">
        <v>3</v>
      </c>
      <c r="AH585" t="n">
        <v>2</v>
      </c>
      <c r="AI585" t="n">
        <v>2</v>
      </c>
      <c r="AJ585" t="n">
        <v>5</v>
      </c>
      <c r="AK585" t="n">
        <v>5</v>
      </c>
      <c r="AL585" t="n">
        <v>0</v>
      </c>
      <c r="AM585" t="n">
        <v>0</v>
      </c>
      <c r="AN585" t="n">
        <v>0</v>
      </c>
      <c r="AO585" t="n">
        <v>0</v>
      </c>
      <c r="AP585" t="inlineStr">
        <is>
          <t>No</t>
        </is>
      </c>
      <c r="AQ585" t="inlineStr">
        <is>
          <t>Yes</t>
        </is>
      </c>
      <c r="AR585">
        <f>HYPERLINK("http://catalog.hathitrust.org/Record/003920872","HathiTrust Record")</f>
        <v/>
      </c>
      <c r="AS585">
        <f>HYPERLINK("https://creighton-primo.hosted.exlibrisgroup.com/primo-explore/search?tab=default_tab&amp;search_scope=EVERYTHING&amp;vid=01CRU&amp;lang=en_US&amp;offset=0&amp;query=any,contains,991002237289702656","Catalog Record")</f>
        <v/>
      </c>
      <c r="AT585">
        <f>HYPERLINK("http://www.worldcat.org/oclc/296261","WorldCat Record")</f>
        <v/>
      </c>
      <c r="AU585" t="inlineStr">
        <is>
          <t>350623384:eng</t>
        </is>
      </c>
      <c r="AV585" t="inlineStr">
        <is>
          <t>296261</t>
        </is>
      </c>
      <c r="AW585" t="inlineStr">
        <is>
          <t>991002237289702656</t>
        </is>
      </c>
      <c r="AX585" t="inlineStr">
        <is>
          <t>991002237289702656</t>
        </is>
      </c>
      <c r="AY585" t="inlineStr">
        <is>
          <t>2262774150002656</t>
        </is>
      </c>
      <c r="AZ585" t="inlineStr">
        <is>
          <t>BOOK</t>
        </is>
      </c>
      <c r="BC585" t="inlineStr">
        <is>
          <t>32285001770907</t>
        </is>
      </c>
      <c r="BD585" t="inlineStr">
        <is>
          <t>893898522</t>
        </is>
      </c>
    </row>
    <row r="586">
      <c r="A586" t="inlineStr">
        <is>
          <t>No</t>
        </is>
      </c>
      <c r="B586" t="inlineStr">
        <is>
          <t>PK2903.N3 N4 1975</t>
        </is>
      </c>
      <c r="C586" t="inlineStr">
        <is>
          <t>0                      PK 2903000N  3                  N  4           1975</t>
        </is>
      </c>
      <c r="D586" t="inlineStr">
        <is>
          <t>A new history of Sanskrit literature / Krishna Chaitanya.</t>
        </is>
      </c>
      <c r="F586" t="inlineStr">
        <is>
          <t>No</t>
        </is>
      </c>
      <c r="G586" t="inlineStr">
        <is>
          <t>1</t>
        </is>
      </c>
      <c r="H586" t="inlineStr">
        <is>
          <t>No</t>
        </is>
      </c>
      <c r="I586" t="inlineStr">
        <is>
          <t>No</t>
        </is>
      </c>
      <c r="J586" t="inlineStr">
        <is>
          <t>0</t>
        </is>
      </c>
      <c r="K586" t="inlineStr">
        <is>
          <t>Krishna Chaitanya, 1918-</t>
        </is>
      </c>
      <c r="L586" t="inlineStr">
        <is>
          <t>Westport, Conn. : Greenwood Press, 1975, c1962.</t>
        </is>
      </c>
      <c r="M586" t="inlineStr">
        <is>
          <t>1975</t>
        </is>
      </c>
      <c r="O586" t="inlineStr">
        <is>
          <t>eng</t>
        </is>
      </c>
      <c r="P586" t="inlineStr">
        <is>
          <t>ctu</t>
        </is>
      </c>
      <c r="R586" t="inlineStr">
        <is>
          <t xml:space="preserve">PK </t>
        </is>
      </c>
      <c r="S586" t="n">
        <v>7</v>
      </c>
      <c r="T586" t="n">
        <v>7</v>
      </c>
      <c r="U586" t="inlineStr">
        <is>
          <t>2002-03-20</t>
        </is>
      </c>
      <c r="V586" t="inlineStr">
        <is>
          <t>2002-03-20</t>
        </is>
      </c>
      <c r="W586" t="inlineStr">
        <is>
          <t>1992-01-30</t>
        </is>
      </c>
      <c r="X586" t="inlineStr">
        <is>
          <t>1992-01-30</t>
        </is>
      </c>
      <c r="Y586" t="n">
        <v>96</v>
      </c>
      <c r="Z586" t="n">
        <v>85</v>
      </c>
      <c r="AA586" t="n">
        <v>324</v>
      </c>
      <c r="AB586" t="n">
        <v>1</v>
      </c>
      <c r="AC586" t="n">
        <v>2</v>
      </c>
      <c r="AD586" t="n">
        <v>6</v>
      </c>
      <c r="AE586" t="n">
        <v>13</v>
      </c>
      <c r="AF586" t="n">
        <v>3</v>
      </c>
      <c r="AG586" t="n">
        <v>5</v>
      </c>
      <c r="AH586" t="n">
        <v>3</v>
      </c>
      <c r="AI586" t="n">
        <v>4</v>
      </c>
      <c r="AJ586" t="n">
        <v>3</v>
      </c>
      <c r="AK586" t="n">
        <v>7</v>
      </c>
      <c r="AL586" t="n">
        <v>0</v>
      </c>
      <c r="AM586" t="n">
        <v>1</v>
      </c>
      <c r="AN586" t="n">
        <v>0</v>
      </c>
      <c r="AO586" t="n">
        <v>0</v>
      </c>
      <c r="AP586" t="inlineStr">
        <is>
          <t>No</t>
        </is>
      </c>
      <c r="AQ586" t="inlineStr">
        <is>
          <t>Yes</t>
        </is>
      </c>
      <c r="AR586">
        <f>HYPERLINK("http://catalog.hathitrust.org/Record/101861047","HathiTrust Record")</f>
        <v/>
      </c>
      <c r="AS586">
        <f>HYPERLINK("https://creighton-primo.hosted.exlibrisgroup.com/primo-explore/search?tab=default_tab&amp;search_scope=EVERYTHING&amp;vid=01CRU&amp;lang=en_US&amp;offset=0&amp;query=any,contains,991003553199702656","Catalog Record")</f>
        <v/>
      </c>
      <c r="AT586">
        <f>HYPERLINK("http://www.worldcat.org/oclc/1120995","WorldCat Record")</f>
        <v/>
      </c>
      <c r="AU586" t="inlineStr">
        <is>
          <t>1407175:eng</t>
        </is>
      </c>
      <c r="AV586" t="inlineStr">
        <is>
          <t>1120995</t>
        </is>
      </c>
      <c r="AW586" t="inlineStr">
        <is>
          <t>991003553199702656</t>
        </is>
      </c>
      <c r="AX586" t="inlineStr">
        <is>
          <t>991003553199702656</t>
        </is>
      </c>
      <c r="AY586" t="inlineStr">
        <is>
          <t>2268816900002656</t>
        </is>
      </c>
      <c r="AZ586" t="inlineStr">
        <is>
          <t>BOOK</t>
        </is>
      </c>
      <c r="BB586" t="inlineStr">
        <is>
          <t>9780837178998</t>
        </is>
      </c>
      <c r="BC586" t="inlineStr">
        <is>
          <t>32285000930650</t>
        </is>
      </c>
      <c r="BD586" t="inlineStr">
        <is>
          <t>893410396</t>
        </is>
      </c>
    </row>
    <row r="587">
      <c r="A587" t="inlineStr">
        <is>
          <t>No</t>
        </is>
      </c>
      <c r="B587" t="inlineStr">
        <is>
          <t>PK2931 .W4 1975</t>
        </is>
      </c>
      <c r="C587" t="inlineStr">
        <is>
          <t>0                      PK 2931000W  4           1975</t>
        </is>
      </c>
      <c r="D587" t="inlineStr">
        <is>
          <t>The classical drama of India : studies in its values for the literature and theatre of the world / Henry W. Wells.</t>
        </is>
      </c>
      <c r="F587" t="inlineStr">
        <is>
          <t>No</t>
        </is>
      </c>
      <c r="G587" t="inlineStr">
        <is>
          <t>1</t>
        </is>
      </c>
      <c r="H587" t="inlineStr">
        <is>
          <t>No</t>
        </is>
      </c>
      <c r="I587" t="inlineStr">
        <is>
          <t>No</t>
        </is>
      </c>
      <c r="J587" t="inlineStr">
        <is>
          <t>0</t>
        </is>
      </c>
      <c r="K587" t="inlineStr">
        <is>
          <t>Wells, Henry W., 1895-1978.</t>
        </is>
      </c>
      <c r="L587" t="inlineStr">
        <is>
          <t>Westport, Conn. : Greenwood Press, 1975, c1963.</t>
        </is>
      </c>
      <c r="M587" t="inlineStr">
        <is>
          <t>1975</t>
        </is>
      </c>
      <c r="O587" t="inlineStr">
        <is>
          <t>eng</t>
        </is>
      </c>
      <c r="P587" t="inlineStr">
        <is>
          <t>ctu</t>
        </is>
      </c>
      <c r="R587" t="inlineStr">
        <is>
          <t xml:space="preserve">PK </t>
        </is>
      </c>
      <c r="S587" t="n">
        <v>2</v>
      </c>
      <c r="T587" t="n">
        <v>2</v>
      </c>
      <c r="U587" t="inlineStr">
        <is>
          <t>2002-03-20</t>
        </is>
      </c>
      <c r="V587" t="inlineStr">
        <is>
          <t>2002-03-20</t>
        </is>
      </c>
      <c r="W587" t="inlineStr">
        <is>
          <t>1997-09-16</t>
        </is>
      </c>
      <c r="X587" t="inlineStr">
        <is>
          <t>1997-09-16</t>
        </is>
      </c>
      <c r="Y587" t="n">
        <v>109</v>
      </c>
      <c r="Z587" t="n">
        <v>93</v>
      </c>
      <c r="AA587" t="n">
        <v>342</v>
      </c>
      <c r="AB587" t="n">
        <v>1</v>
      </c>
      <c r="AC587" t="n">
        <v>3</v>
      </c>
      <c r="AD587" t="n">
        <v>6</v>
      </c>
      <c r="AE587" t="n">
        <v>16</v>
      </c>
      <c r="AF587" t="n">
        <v>1</v>
      </c>
      <c r="AG587" t="n">
        <v>2</v>
      </c>
      <c r="AH587" t="n">
        <v>3</v>
      </c>
      <c r="AI587" t="n">
        <v>4</v>
      </c>
      <c r="AJ587" t="n">
        <v>4</v>
      </c>
      <c r="AK587" t="n">
        <v>11</v>
      </c>
      <c r="AL587" t="n">
        <v>0</v>
      </c>
      <c r="AM587" t="n">
        <v>2</v>
      </c>
      <c r="AN587" t="n">
        <v>0</v>
      </c>
      <c r="AO587" t="n">
        <v>0</v>
      </c>
      <c r="AP587" t="inlineStr">
        <is>
          <t>No</t>
        </is>
      </c>
      <c r="AQ587" t="inlineStr">
        <is>
          <t>Yes</t>
        </is>
      </c>
      <c r="AR587">
        <f>HYPERLINK("http://catalog.hathitrust.org/Record/011246990","HathiTrust Record")</f>
        <v/>
      </c>
      <c r="AS587">
        <f>HYPERLINK("https://creighton-primo.hosted.exlibrisgroup.com/primo-explore/search?tab=default_tab&amp;search_scope=EVERYTHING&amp;vid=01CRU&amp;lang=en_US&amp;offset=0&amp;query=any,contains,991003673789702656","Catalog Record")</f>
        <v/>
      </c>
      <c r="AT587">
        <f>HYPERLINK("http://www.worldcat.org/oclc/1292797","WorldCat Record")</f>
        <v/>
      </c>
      <c r="AU587" t="inlineStr">
        <is>
          <t>230386004:eng</t>
        </is>
      </c>
      <c r="AV587" t="inlineStr">
        <is>
          <t>1292797</t>
        </is>
      </c>
      <c r="AW587" t="inlineStr">
        <is>
          <t>991003673789702656</t>
        </is>
      </c>
      <c r="AX587" t="inlineStr">
        <is>
          <t>991003673789702656</t>
        </is>
      </c>
      <c r="AY587" t="inlineStr">
        <is>
          <t>2255033090002656</t>
        </is>
      </c>
      <c r="AZ587" t="inlineStr">
        <is>
          <t>BOOK</t>
        </is>
      </c>
      <c r="BB587" t="inlineStr">
        <is>
          <t>9780837178981</t>
        </is>
      </c>
      <c r="BC587" t="inlineStr">
        <is>
          <t>32285003223749</t>
        </is>
      </c>
      <c r="BD587" t="inlineStr">
        <is>
          <t>893722057</t>
        </is>
      </c>
    </row>
    <row r="588">
      <c r="A588" t="inlineStr">
        <is>
          <t>No</t>
        </is>
      </c>
      <c r="B588" t="inlineStr">
        <is>
          <t>PK3633.A2 B84 1978, v...</t>
        </is>
      </c>
      <c r="C588" t="inlineStr">
        <is>
          <t>0                      PK 3633000A  2                  B  84          1978                  v...</t>
        </is>
      </c>
      <c r="D588" t="inlineStr">
        <is>
          <t>The Mahābhārata / translated and edited by J.A.B. van Buitenen.</t>
        </is>
      </c>
      <c r="E588" t="inlineStr">
        <is>
          <t>V. 2</t>
        </is>
      </c>
      <c r="F588" t="inlineStr">
        <is>
          <t>Yes</t>
        </is>
      </c>
      <c r="G588" t="inlineStr">
        <is>
          <t>1</t>
        </is>
      </c>
      <c r="H588" t="inlineStr">
        <is>
          <t>No</t>
        </is>
      </c>
      <c r="I588" t="inlineStr">
        <is>
          <t>No</t>
        </is>
      </c>
      <c r="J588" t="inlineStr">
        <is>
          <t>0</t>
        </is>
      </c>
      <c r="K588" t="inlineStr">
        <is>
          <t>Mahābhārata. English.</t>
        </is>
      </c>
      <c r="L588" t="inlineStr">
        <is>
          <t>Chicago : University of Chicago Press, 1978-</t>
        </is>
      </c>
      <c r="M588" t="inlineStr">
        <is>
          <t>1978</t>
        </is>
      </c>
      <c r="O588" t="inlineStr">
        <is>
          <t>eng</t>
        </is>
      </c>
      <c r="P588" t="inlineStr">
        <is>
          <t>ilu</t>
        </is>
      </c>
      <c r="R588" t="inlineStr">
        <is>
          <t xml:space="preserve">PK </t>
        </is>
      </c>
      <c r="S588" t="n">
        <v>3</v>
      </c>
      <c r="T588" t="n">
        <v>9</v>
      </c>
      <c r="U588" t="inlineStr">
        <is>
          <t>2007-04-02</t>
        </is>
      </c>
      <c r="V588" t="inlineStr">
        <is>
          <t>2007-04-02</t>
        </is>
      </c>
      <c r="W588" t="inlineStr">
        <is>
          <t>2000-03-15</t>
        </is>
      </c>
      <c r="X588" t="inlineStr">
        <is>
          <t>2000-03-15</t>
        </is>
      </c>
      <c r="Y588" t="n">
        <v>53</v>
      </c>
      <c r="Z588" t="n">
        <v>42</v>
      </c>
      <c r="AA588" t="n">
        <v>763</v>
      </c>
      <c r="AB588" t="n">
        <v>1</v>
      </c>
      <c r="AC588" t="n">
        <v>4</v>
      </c>
      <c r="AD588" t="n">
        <v>2</v>
      </c>
      <c r="AE588" t="n">
        <v>35</v>
      </c>
      <c r="AF588" t="n">
        <v>0</v>
      </c>
      <c r="AG588" t="n">
        <v>12</v>
      </c>
      <c r="AH588" t="n">
        <v>0</v>
      </c>
      <c r="AI588" t="n">
        <v>10</v>
      </c>
      <c r="AJ588" t="n">
        <v>2</v>
      </c>
      <c r="AK588" t="n">
        <v>19</v>
      </c>
      <c r="AL588" t="n">
        <v>0</v>
      </c>
      <c r="AM588" t="n">
        <v>3</v>
      </c>
      <c r="AN588" t="n">
        <v>0</v>
      </c>
      <c r="AO588" t="n">
        <v>0</v>
      </c>
      <c r="AP588" t="inlineStr">
        <is>
          <t>No</t>
        </is>
      </c>
      <c r="AQ588" t="inlineStr">
        <is>
          <t>No</t>
        </is>
      </c>
      <c r="AS588">
        <f>HYPERLINK("https://creighton-primo.hosted.exlibrisgroup.com/primo-explore/search?tab=default_tab&amp;search_scope=EVERYTHING&amp;vid=01CRU&amp;lang=en_US&amp;offset=0&amp;query=any,contains,991000869779702656","Catalog Record")</f>
        <v/>
      </c>
      <c r="AT588">
        <f>HYPERLINK("http://www.worldcat.org/oclc/13785648","WorldCat Record")</f>
        <v/>
      </c>
      <c r="AU588" t="inlineStr">
        <is>
          <t>3855310822:eng</t>
        </is>
      </c>
      <c r="AV588" t="inlineStr">
        <is>
          <t>13785648</t>
        </is>
      </c>
      <c r="AW588" t="inlineStr">
        <is>
          <t>991000869779702656</t>
        </is>
      </c>
      <c r="AX588" t="inlineStr">
        <is>
          <t>991000869779702656</t>
        </is>
      </c>
      <c r="AY588" t="inlineStr">
        <is>
          <t>2268281760002656</t>
        </is>
      </c>
      <c r="AZ588" t="inlineStr">
        <is>
          <t>BOOK</t>
        </is>
      </c>
      <c r="BB588" t="inlineStr">
        <is>
          <t>9780226846637</t>
        </is>
      </c>
      <c r="BC588" t="inlineStr">
        <is>
          <t>32285003670212</t>
        </is>
      </c>
      <c r="BD588" t="inlineStr">
        <is>
          <t>893346045</t>
        </is>
      </c>
    </row>
    <row r="589">
      <c r="A589" t="inlineStr">
        <is>
          <t>No</t>
        </is>
      </c>
      <c r="B589" t="inlineStr">
        <is>
          <t>PK3633.A2 B84 1978, v...</t>
        </is>
      </c>
      <c r="C589" t="inlineStr">
        <is>
          <t>0                      PK 3633000A  2                  B  84          1978                  v...</t>
        </is>
      </c>
      <c r="D589" t="inlineStr">
        <is>
          <t>The Mahābhārata / translated and edited by J.A.B. van Buitenen.</t>
        </is>
      </c>
      <c r="E589" t="inlineStr">
        <is>
          <t>V. 1</t>
        </is>
      </c>
      <c r="F589" t="inlineStr">
        <is>
          <t>Yes</t>
        </is>
      </c>
      <c r="G589" t="inlineStr">
        <is>
          <t>1</t>
        </is>
      </c>
      <c r="H589" t="inlineStr">
        <is>
          <t>No</t>
        </is>
      </c>
      <c r="I589" t="inlineStr">
        <is>
          <t>No</t>
        </is>
      </c>
      <c r="J589" t="inlineStr">
        <is>
          <t>0</t>
        </is>
      </c>
      <c r="K589" t="inlineStr">
        <is>
          <t>Mahābhārata. English.</t>
        </is>
      </c>
      <c r="L589" t="inlineStr">
        <is>
          <t>Chicago : University of Chicago Press, 1978-</t>
        </is>
      </c>
      <c r="M589" t="inlineStr">
        <is>
          <t>1978</t>
        </is>
      </c>
      <c r="O589" t="inlineStr">
        <is>
          <t>eng</t>
        </is>
      </c>
      <c r="P589" t="inlineStr">
        <is>
          <t>ilu</t>
        </is>
      </c>
      <c r="R589" t="inlineStr">
        <is>
          <t xml:space="preserve">PK </t>
        </is>
      </c>
      <c r="S589" t="n">
        <v>3</v>
      </c>
      <c r="T589" t="n">
        <v>9</v>
      </c>
      <c r="U589" t="inlineStr">
        <is>
          <t>2007-04-02</t>
        </is>
      </c>
      <c r="V589" t="inlineStr">
        <is>
          <t>2007-04-02</t>
        </is>
      </c>
      <c r="W589" t="inlineStr">
        <is>
          <t>2000-03-15</t>
        </is>
      </c>
      <c r="X589" t="inlineStr">
        <is>
          <t>2000-03-15</t>
        </is>
      </c>
      <c r="Y589" t="n">
        <v>53</v>
      </c>
      <c r="Z589" t="n">
        <v>42</v>
      </c>
      <c r="AA589" t="n">
        <v>763</v>
      </c>
      <c r="AB589" t="n">
        <v>1</v>
      </c>
      <c r="AC589" t="n">
        <v>4</v>
      </c>
      <c r="AD589" t="n">
        <v>2</v>
      </c>
      <c r="AE589" t="n">
        <v>35</v>
      </c>
      <c r="AF589" t="n">
        <v>0</v>
      </c>
      <c r="AG589" t="n">
        <v>12</v>
      </c>
      <c r="AH589" t="n">
        <v>0</v>
      </c>
      <c r="AI589" t="n">
        <v>10</v>
      </c>
      <c r="AJ589" t="n">
        <v>2</v>
      </c>
      <c r="AK589" t="n">
        <v>19</v>
      </c>
      <c r="AL589" t="n">
        <v>0</v>
      </c>
      <c r="AM589" t="n">
        <v>3</v>
      </c>
      <c r="AN589" t="n">
        <v>0</v>
      </c>
      <c r="AO589" t="n">
        <v>0</v>
      </c>
      <c r="AP589" t="inlineStr">
        <is>
          <t>No</t>
        </is>
      </c>
      <c r="AQ589" t="inlineStr">
        <is>
          <t>No</t>
        </is>
      </c>
      <c r="AS589">
        <f>HYPERLINK("https://creighton-primo.hosted.exlibrisgroup.com/primo-explore/search?tab=default_tab&amp;search_scope=EVERYTHING&amp;vid=01CRU&amp;lang=en_US&amp;offset=0&amp;query=any,contains,991000869779702656","Catalog Record")</f>
        <v/>
      </c>
      <c r="AT589">
        <f>HYPERLINK("http://www.worldcat.org/oclc/13785648","WorldCat Record")</f>
        <v/>
      </c>
      <c r="AU589" t="inlineStr">
        <is>
          <t>3855310822:eng</t>
        </is>
      </c>
      <c r="AV589" t="inlineStr">
        <is>
          <t>13785648</t>
        </is>
      </c>
      <c r="AW589" t="inlineStr">
        <is>
          <t>991000869779702656</t>
        </is>
      </c>
      <c r="AX589" t="inlineStr">
        <is>
          <t>991000869779702656</t>
        </is>
      </c>
      <c r="AY589" t="inlineStr">
        <is>
          <t>2268281760002656</t>
        </is>
      </c>
      <c r="AZ589" t="inlineStr">
        <is>
          <t>BOOK</t>
        </is>
      </c>
      <c r="BB589" t="inlineStr">
        <is>
          <t>9780226846637</t>
        </is>
      </c>
      <c r="BC589" t="inlineStr">
        <is>
          <t>32285003670204</t>
        </is>
      </c>
      <c r="BD589" t="inlineStr">
        <is>
          <t>893321435</t>
        </is>
      </c>
    </row>
    <row r="590">
      <c r="A590" t="inlineStr">
        <is>
          <t>No</t>
        </is>
      </c>
      <c r="B590" t="inlineStr">
        <is>
          <t>PK3633.A2 B84 1978, v...</t>
        </is>
      </c>
      <c r="C590" t="inlineStr">
        <is>
          <t>0                      PK 3633000A  2                  B  84          1978                  v...</t>
        </is>
      </c>
      <c r="D590" t="inlineStr">
        <is>
          <t>The Mahābhārata / translated and edited by J.A.B. van Buitenen.</t>
        </is>
      </c>
      <c r="E590" t="inlineStr">
        <is>
          <t>V. 3</t>
        </is>
      </c>
      <c r="F590" t="inlineStr">
        <is>
          <t>Yes</t>
        </is>
      </c>
      <c r="G590" t="inlineStr">
        <is>
          <t>1</t>
        </is>
      </c>
      <c r="H590" t="inlineStr">
        <is>
          <t>No</t>
        </is>
      </c>
      <c r="I590" t="inlineStr">
        <is>
          <t>No</t>
        </is>
      </c>
      <c r="J590" t="inlineStr">
        <is>
          <t>0</t>
        </is>
      </c>
      <c r="K590" t="inlineStr">
        <is>
          <t>Mahābhārata. English.</t>
        </is>
      </c>
      <c r="L590" t="inlineStr">
        <is>
          <t>Chicago : University of Chicago Press, 1978-</t>
        </is>
      </c>
      <c r="M590" t="inlineStr">
        <is>
          <t>1978</t>
        </is>
      </c>
      <c r="O590" t="inlineStr">
        <is>
          <t>eng</t>
        </is>
      </c>
      <c r="P590" t="inlineStr">
        <is>
          <t>ilu</t>
        </is>
      </c>
      <c r="R590" t="inlineStr">
        <is>
          <t xml:space="preserve">PK </t>
        </is>
      </c>
      <c r="S590" t="n">
        <v>3</v>
      </c>
      <c r="T590" t="n">
        <v>9</v>
      </c>
      <c r="U590" t="inlineStr">
        <is>
          <t>2007-04-02</t>
        </is>
      </c>
      <c r="V590" t="inlineStr">
        <is>
          <t>2007-04-02</t>
        </is>
      </c>
      <c r="W590" t="inlineStr">
        <is>
          <t>2000-03-15</t>
        </is>
      </c>
      <c r="X590" t="inlineStr">
        <is>
          <t>2000-03-15</t>
        </is>
      </c>
      <c r="Y590" t="n">
        <v>53</v>
      </c>
      <c r="Z590" t="n">
        <v>42</v>
      </c>
      <c r="AA590" t="n">
        <v>763</v>
      </c>
      <c r="AB590" t="n">
        <v>1</v>
      </c>
      <c r="AC590" t="n">
        <v>4</v>
      </c>
      <c r="AD590" t="n">
        <v>2</v>
      </c>
      <c r="AE590" t="n">
        <v>35</v>
      </c>
      <c r="AF590" t="n">
        <v>0</v>
      </c>
      <c r="AG590" t="n">
        <v>12</v>
      </c>
      <c r="AH590" t="n">
        <v>0</v>
      </c>
      <c r="AI590" t="n">
        <v>10</v>
      </c>
      <c r="AJ590" t="n">
        <v>2</v>
      </c>
      <c r="AK590" t="n">
        <v>19</v>
      </c>
      <c r="AL590" t="n">
        <v>0</v>
      </c>
      <c r="AM590" t="n">
        <v>3</v>
      </c>
      <c r="AN590" t="n">
        <v>0</v>
      </c>
      <c r="AO590" t="n">
        <v>0</v>
      </c>
      <c r="AP590" t="inlineStr">
        <is>
          <t>No</t>
        </is>
      </c>
      <c r="AQ590" t="inlineStr">
        <is>
          <t>No</t>
        </is>
      </c>
      <c r="AS590">
        <f>HYPERLINK("https://creighton-primo.hosted.exlibrisgroup.com/primo-explore/search?tab=default_tab&amp;search_scope=EVERYTHING&amp;vid=01CRU&amp;lang=en_US&amp;offset=0&amp;query=any,contains,991000869779702656","Catalog Record")</f>
        <v/>
      </c>
      <c r="AT590">
        <f>HYPERLINK("http://www.worldcat.org/oclc/13785648","WorldCat Record")</f>
        <v/>
      </c>
      <c r="AU590" t="inlineStr">
        <is>
          <t>3855310822:eng</t>
        </is>
      </c>
      <c r="AV590" t="inlineStr">
        <is>
          <t>13785648</t>
        </is>
      </c>
      <c r="AW590" t="inlineStr">
        <is>
          <t>991000869779702656</t>
        </is>
      </c>
      <c r="AX590" t="inlineStr">
        <is>
          <t>991000869779702656</t>
        </is>
      </c>
      <c r="AY590" t="inlineStr">
        <is>
          <t>2268281760002656</t>
        </is>
      </c>
      <c r="AZ590" t="inlineStr">
        <is>
          <t>BOOK</t>
        </is>
      </c>
      <c r="BB590" t="inlineStr">
        <is>
          <t>9780226846637</t>
        </is>
      </c>
      <c r="BC590" t="inlineStr">
        <is>
          <t>32285003670220</t>
        </is>
      </c>
      <c r="BD590" t="inlineStr">
        <is>
          <t>893351688</t>
        </is>
      </c>
    </row>
    <row r="591">
      <c r="A591" t="inlineStr">
        <is>
          <t>No</t>
        </is>
      </c>
      <c r="B591" t="inlineStr">
        <is>
          <t>PK3633.A2 N3 1965</t>
        </is>
      </c>
      <c r="C591" t="inlineStr">
        <is>
          <t>0                      PK 3633000A  2                  N  3           1965</t>
        </is>
      </c>
      <c r="D591" t="inlineStr">
        <is>
          <t>The Mahābhārata : an English version based on selected verses / [by] Chakravarthi V. Narasimhan.</t>
        </is>
      </c>
      <c r="F591" t="inlineStr">
        <is>
          <t>No</t>
        </is>
      </c>
      <c r="G591" t="inlineStr">
        <is>
          <t>1</t>
        </is>
      </c>
      <c r="H591" t="inlineStr">
        <is>
          <t>No</t>
        </is>
      </c>
      <c r="I591" t="inlineStr">
        <is>
          <t>No</t>
        </is>
      </c>
      <c r="J591" t="inlineStr">
        <is>
          <t>0</t>
        </is>
      </c>
      <c r="K591" t="inlineStr">
        <is>
          <t>Mahābhārata. Selections. English</t>
        </is>
      </c>
      <c r="L591" t="inlineStr">
        <is>
          <t>New York : Columbia University Press, 1965.</t>
        </is>
      </c>
      <c r="M591" t="inlineStr">
        <is>
          <t>1965</t>
        </is>
      </c>
      <c r="O591" t="inlineStr">
        <is>
          <t>eng</t>
        </is>
      </c>
      <c r="P591" t="inlineStr">
        <is>
          <t>nyu</t>
        </is>
      </c>
      <c r="Q591" t="inlineStr">
        <is>
          <t>Records of civilization: sources &amp; studies, no. 71</t>
        </is>
      </c>
      <c r="R591" t="inlineStr">
        <is>
          <t xml:space="preserve">PK </t>
        </is>
      </c>
      <c r="S591" t="n">
        <v>6</v>
      </c>
      <c r="T591" t="n">
        <v>6</v>
      </c>
      <c r="U591" t="inlineStr">
        <is>
          <t>2007-06-18</t>
        </is>
      </c>
      <c r="V591" t="inlineStr">
        <is>
          <t>2007-06-18</t>
        </is>
      </c>
      <c r="W591" t="inlineStr">
        <is>
          <t>1993-09-23</t>
        </is>
      </c>
      <c r="X591" t="inlineStr">
        <is>
          <t>1993-09-23</t>
        </is>
      </c>
      <c r="Y591" t="n">
        <v>855</v>
      </c>
      <c r="Z591" t="n">
        <v>751</v>
      </c>
      <c r="AA591" t="n">
        <v>927</v>
      </c>
      <c r="AB591" t="n">
        <v>4</v>
      </c>
      <c r="AC591" t="n">
        <v>4</v>
      </c>
      <c r="AD591" t="n">
        <v>26</v>
      </c>
      <c r="AE591" t="n">
        <v>29</v>
      </c>
      <c r="AF591" t="n">
        <v>9</v>
      </c>
      <c r="AG591" t="n">
        <v>11</v>
      </c>
      <c r="AH591" t="n">
        <v>5</v>
      </c>
      <c r="AI591" t="n">
        <v>6</v>
      </c>
      <c r="AJ591" t="n">
        <v>15</v>
      </c>
      <c r="AK591" t="n">
        <v>16</v>
      </c>
      <c r="AL591" t="n">
        <v>3</v>
      </c>
      <c r="AM591" t="n">
        <v>3</v>
      </c>
      <c r="AN591" t="n">
        <v>0</v>
      </c>
      <c r="AO591" t="n">
        <v>0</v>
      </c>
      <c r="AP591" t="inlineStr">
        <is>
          <t>No</t>
        </is>
      </c>
      <c r="AQ591" t="inlineStr">
        <is>
          <t>Yes</t>
        </is>
      </c>
      <c r="AR591">
        <f>HYPERLINK("http://catalog.hathitrust.org/Record/001110654","HathiTrust Record")</f>
        <v/>
      </c>
      <c r="AS591">
        <f>HYPERLINK("https://creighton-primo.hosted.exlibrisgroup.com/primo-explore/search?tab=default_tab&amp;search_scope=EVERYTHING&amp;vid=01CRU&amp;lang=en_US&amp;offset=0&amp;query=any,contains,991002363089702656","Catalog Record")</f>
        <v/>
      </c>
      <c r="AT591">
        <f>HYPERLINK("http://www.worldcat.org/oclc/326305","WorldCat Record")</f>
        <v/>
      </c>
      <c r="AU591" t="inlineStr">
        <is>
          <t>138034625:eng</t>
        </is>
      </c>
      <c r="AV591" t="inlineStr">
        <is>
          <t>326305</t>
        </is>
      </c>
      <c r="AW591" t="inlineStr">
        <is>
          <t>991002363089702656</t>
        </is>
      </c>
      <c r="AX591" t="inlineStr">
        <is>
          <t>991002363089702656</t>
        </is>
      </c>
      <c r="AY591" t="inlineStr">
        <is>
          <t>2272222510002656</t>
        </is>
      </c>
      <c r="AZ591" t="inlineStr">
        <is>
          <t>BOOK</t>
        </is>
      </c>
      <c r="BC591" t="inlineStr">
        <is>
          <t>32285001770899</t>
        </is>
      </c>
      <c r="BD591" t="inlineStr">
        <is>
          <t>893251126</t>
        </is>
      </c>
    </row>
    <row r="592">
      <c r="A592" t="inlineStr">
        <is>
          <t>No</t>
        </is>
      </c>
      <c r="B592" t="inlineStr">
        <is>
          <t>PK3653.A2 M4</t>
        </is>
      </c>
      <c r="C592" t="inlineStr">
        <is>
          <t>0                      PK 3653000A  2                  M  4</t>
        </is>
      </c>
      <c r="D592" t="inlineStr">
        <is>
          <t>The Ramayana as told by Aubrey Menen.</t>
        </is>
      </c>
      <c r="F592" t="inlineStr">
        <is>
          <t>No</t>
        </is>
      </c>
      <c r="G592" t="inlineStr">
        <is>
          <t>2</t>
        </is>
      </c>
      <c r="H592" t="inlineStr">
        <is>
          <t>No</t>
        </is>
      </c>
      <c r="I592" t="inlineStr">
        <is>
          <t>No</t>
        </is>
      </c>
      <c r="J592" t="inlineStr">
        <is>
          <t>0</t>
        </is>
      </c>
      <c r="K592" t="inlineStr">
        <is>
          <t>Menen, Aubrey.</t>
        </is>
      </c>
      <c r="L592" t="inlineStr">
        <is>
          <t>New York, Scribner, 1954.</t>
        </is>
      </c>
      <c r="M592" t="inlineStr">
        <is>
          <t>1954</t>
        </is>
      </c>
      <c r="O592" t="inlineStr">
        <is>
          <t>eng</t>
        </is>
      </c>
      <c r="P592" t="inlineStr">
        <is>
          <t>nyu</t>
        </is>
      </c>
      <c r="R592" t="inlineStr">
        <is>
          <t xml:space="preserve">PK </t>
        </is>
      </c>
      <c r="S592" t="n">
        <v>5</v>
      </c>
      <c r="T592" t="n">
        <v>5</v>
      </c>
      <c r="U592" t="inlineStr">
        <is>
          <t>2000-11-27</t>
        </is>
      </c>
      <c r="V592" t="inlineStr">
        <is>
          <t>2000-11-27</t>
        </is>
      </c>
      <c r="W592" t="inlineStr">
        <is>
          <t>1997-09-16</t>
        </is>
      </c>
      <c r="X592" t="inlineStr">
        <is>
          <t>1997-09-16</t>
        </is>
      </c>
      <c r="Y592" t="n">
        <v>1254</v>
      </c>
      <c r="Z592" t="n">
        <v>1202</v>
      </c>
      <c r="AA592" t="n">
        <v>1276</v>
      </c>
      <c r="AB592" t="n">
        <v>12</v>
      </c>
      <c r="AC592" t="n">
        <v>12</v>
      </c>
      <c r="AD592" t="n">
        <v>37</v>
      </c>
      <c r="AE592" t="n">
        <v>39</v>
      </c>
      <c r="AF592" t="n">
        <v>15</v>
      </c>
      <c r="AG592" t="n">
        <v>17</v>
      </c>
      <c r="AH592" t="n">
        <v>6</v>
      </c>
      <c r="AI592" t="n">
        <v>6</v>
      </c>
      <c r="AJ592" t="n">
        <v>18</v>
      </c>
      <c r="AK592" t="n">
        <v>19</v>
      </c>
      <c r="AL592" t="n">
        <v>6</v>
      </c>
      <c r="AM592" t="n">
        <v>6</v>
      </c>
      <c r="AN592" t="n">
        <v>0</v>
      </c>
      <c r="AO592" t="n">
        <v>0</v>
      </c>
      <c r="AP592" t="inlineStr">
        <is>
          <t>No</t>
        </is>
      </c>
      <c r="AQ592" t="inlineStr">
        <is>
          <t>Yes</t>
        </is>
      </c>
      <c r="AR592">
        <f>HYPERLINK("http://catalog.hathitrust.org/Record/001004697","HathiTrust Record")</f>
        <v/>
      </c>
      <c r="AS592">
        <f>HYPERLINK("https://creighton-primo.hosted.exlibrisgroup.com/primo-explore/search?tab=default_tab&amp;search_scope=EVERYTHING&amp;vid=01CRU&amp;lang=en_US&amp;offset=0&amp;query=any,contains,991003425119702656","Catalog Record")</f>
        <v/>
      </c>
      <c r="AT592">
        <f>HYPERLINK("http://www.worldcat.org/oclc/964455","WorldCat Record")</f>
        <v/>
      </c>
      <c r="AU592" t="inlineStr">
        <is>
          <t>5218381175:eng</t>
        </is>
      </c>
      <c r="AV592" t="inlineStr">
        <is>
          <t>964455</t>
        </is>
      </c>
      <c r="AW592" t="inlineStr">
        <is>
          <t>991003425119702656</t>
        </is>
      </c>
      <c r="AX592" t="inlineStr">
        <is>
          <t>991003425119702656</t>
        </is>
      </c>
      <c r="AY592" t="inlineStr">
        <is>
          <t>2261846740002656</t>
        </is>
      </c>
      <c r="AZ592" t="inlineStr">
        <is>
          <t>BOOK</t>
        </is>
      </c>
      <c r="BC592" t="inlineStr">
        <is>
          <t>32285003223913</t>
        </is>
      </c>
      <c r="BD592" t="inlineStr">
        <is>
          <t>893428772</t>
        </is>
      </c>
    </row>
    <row r="593">
      <c r="A593" t="inlineStr">
        <is>
          <t>No</t>
        </is>
      </c>
      <c r="B593" t="inlineStr">
        <is>
          <t>PK3791.B29 G6</t>
        </is>
      </c>
      <c r="C593" t="inlineStr">
        <is>
          <t>0                      PK 3791000B  29                 G  6</t>
        </is>
      </c>
      <c r="D593" t="inlineStr">
        <is>
          <t>Bhartṛhari / by Harold G. Coward.</t>
        </is>
      </c>
      <c r="F593" t="inlineStr">
        <is>
          <t>No</t>
        </is>
      </c>
      <c r="G593" t="inlineStr">
        <is>
          <t>1</t>
        </is>
      </c>
      <c r="H593" t="inlineStr">
        <is>
          <t>No</t>
        </is>
      </c>
      <c r="I593" t="inlineStr">
        <is>
          <t>No</t>
        </is>
      </c>
      <c r="J593" t="inlineStr">
        <is>
          <t>0</t>
        </is>
      </c>
      <c r="K593" t="inlineStr">
        <is>
          <t>Coward, Harold G.</t>
        </is>
      </c>
      <c r="L593" t="inlineStr">
        <is>
          <t>Boston : Twayne Publishers, c1976.</t>
        </is>
      </c>
      <c r="M593" t="inlineStr">
        <is>
          <t>1976</t>
        </is>
      </c>
      <c r="O593" t="inlineStr">
        <is>
          <t>eng</t>
        </is>
      </c>
      <c r="P593" t="inlineStr">
        <is>
          <t>mau</t>
        </is>
      </c>
      <c r="Q593" t="inlineStr">
        <is>
          <t>Twayne's world authors series ; TWAS 403 : India</t>
        </is>
      </c>
      <c r="R593" t="inlineStr">
        <is>
          <t xml:space="preserve">PK </t>
        </is>
      </c>
      <c r="S593" t="n">
        <v>2</v>
      </c>
      <c r="T593" t="n">
        <v>2</v>
      </c>
      <c r="U593" t="inlineStr">
        <is>
          <t>2005-10-04</t>
        </is>
      </c>
      <c r="V593" t="inlineStr">
        <is>
          <t>2005-10-04</t>
        </is>
      </c>
      <c r="W593" t="inlineStr">
        <is>
          <t>1997-09-16</t>
        </is>
      </c>
      <c r="X593" t="inlineStr">
        <is>
          <t>1997-09-16</t>
        </is>
      </c>
      <c r="Y593" t="n">
        <v>440</v>
      </c>
      <c r="Z593" t="n">
        <v>387</v>
      </c>
      <c r="AA593" t="n">
        <v>394</v>
      </c>
      <c r="AB593" t="n">
        <v>4</v>
      </c>
      <c r="AC593" t="n">
        <v>4</v>
      </c>
      <c r="AD593" t="n">
        <v>18</v>
      </c>
      <c r="AE593" t="n">
        <v>18</v>
      </c>
      <c r="AF593" t="n">
        <v>9</v>
      </c>
      <c r="AG593" t="n">
        <v>9</v>
      </c>
      <c r="AH593" t="n">
        <v>2</v>
      </c>
      <c r="AI593" t="n">
        <v>2</v>
      </c>
      <c r="AJ593" t="n">
        <v>9</v>
      </c>
      <c r="AK593" t="n">
        <v>9</v>
      </c>
      <c r="AL593" t="n">
        <v>3</v>
      </c>
      <c r="AM593" t="n">
        <v>3</v>
      </c>
      <c r="AN593" t="n">
        <v>0</v>
      </c>
      <c r="AO593" t="n">
        <v>0</v>
      </c>
      <c r="AP593" t="inlineStr">
        <is>
          <t>No</t>
        </is>
      </c>
      <c r="AQ593" t="inlineStr">
        <is>
          <t>Yes</t>
        </is>
      </c>
      <c r="AR593">
        <f>HYPERLINK("http://catalog.hathitrust.org/Record/000713854","HathiTrust Record")</f>
        <v/>
      </c>
      <c r="AS593">
        <f>HYPERLINK("https://creighton-primo.hosted.exlibrisgroup.com/primo-explore/search?tab=default_tab&amp;search_scope=EVERYTHING&amp;vid=01CRU&amp;lang=en_US&amp;offset=0&amp;query=any,contains,991004019559702656","Catalog Record")</f>
        <v/>
      </c>
      <c r="AT593">
        <f>HYPERLINK("http://www.worldcat.org/oclc/2119574","WorldCat Record")</f>
        <v/>
      </c>
      <c r="AU593" t="inlineStr">
        <is>
          <t>3933770:eng</t>
        </is>
      </c>
      <c r="AV593" t="inlineStr">
        <is>
          <t>2119574</t>
        </is>
      </c>
      <c r="AW593" t="inlineStr">
        <is>
          <t>991004019559702656</t>
        </is>
      </c>
      <c r="AX593" t="inlineStr">
        <is>
          <t>991004019559702656</t>
        </is>
      </c>
      <c r="AY593" t="inlineStr">
        <is>
          <t>2268027300002656</t>
        </is>
      </c>
      <c r="AZ593" t="inlineStr">
        <is>
          <t>BOOK</t>
        </is>
      </c>
      <c r="BB593" t="inlineStr">
        <is>
          <t>9780805762433</t>
        </is>
      </c>
      <c r="BC593" t="inlineStr">
        <is>
          <t>32285003223947</t>
        </is>
      </c>
      <c r="BD593" t="inlineStr">
        <is>
          <t>893247062</t>
        </is>
      </c>
    </row>
    <row r="594">
      <c r="A594" t="inlineStr">
        <is>
          <t>No</t>
        </is>
      </c>
      <c r="B594" t="inlineStr">
        <is>
          <t>PK3795 .E5 1959</t>
        </is>
      </c>
      <c r="C594" t="inlineStr">
        <is>
          <t>0                      PK 3795000E  5           1959</t>
        </is>
      </c>
      <c r="D594" t="inlineStr">
        <is>
          <t>Shakuntala and other writings. By Kalidasa. Translated with an introduction by Arthur W. Ryder. Preface by G. L. Anderson.</t>
        </is>
      </c>
      <c r="F594" t="inlineStr">
        <is>
          <t>No</t>
        </is>
      </c>
      <c r="G594" t="inlineStr">
        <is>
          <t>1</t>
        </is>
      </c>
      <c r="H594" t="inlineStr">
        <is>
          <t>No</t>
        </is>
      </c>
      <c r="I594" t="inlineStr">
        <is>
          <t>No</t>
        </is>
      </c>
      <c r="J594" t="inlineStr">
        <is>
          <t>0</t>
        </is>
      </c>
      <c r="K594" t="inlineStr">
        <is>
          <t>Kālidāsa.</t>
        </is>
      </c>
      <c r="L594" t="inlineStr">
        <is>
          <t>New York, Dutton, 1959.</t>
        </is>
      </c>
      <c r="M594" t="inlineStr">
        <is>
          <t>1959</t>
        </is>
      </c>
      <c r="O594" t="inlineStr">
        <is>
          <t>eng</t>
        </is>
      </c>
      <c r="P594" t="inlineStr">
        <is>
          <t>nyu</t>
        </is>
      </c>
      <c r="Q594" t="inlineStr">
        <is>
          <t>A Dutton everyman paperback, D40</t>
        </is>
      </c>
      <c r="R594" t="inlineStr">
        <is>
          <t xml:space="preserve">PK </t>
        </is>
      </c>
      <c r="S594" t="n">
        <v>2</v>
      </c>
      <c r="T594" t="n">
        <v>2</v>
      </c>
      <c r="U594" t="inlineStr">
        <is>
          <t>2008-05-24</t>
        </is>
      </c>
      <c r="V594" t="inlineStr">
        <is>
          <t>2008-05-24</t>
        </is>
      </c>
      <c r="W594" t="inlineStr">
        <is>
          <t>1997-09-16</t>
        </is>
      </c>
      <c r="X594" t="inlineStr">
        <is>
          <t>1997-09-16</t>
        </is>
      </c>
      <c r="Y594" t="n">
        <v>531</v>
      </c>
      <c r="Z594" t="n">
        <v>499</v>
      </c>
      <c r="AA594" t="n">
        <v>526</v>
      </c>
      <c r="AB594" t="n">
        <v>2</v>
      </c>
      <c r="AC594" t="n">
        <v>2</v>
      </c>
      <c r="AD594" t="n">
        <v>16</v>
      </c>
      <c r="AE594" t="n">
        <v>17</v>
      </c>
      <c r="AF594" t="n">
        <v>5</v>
      </c>
      <c r="AG594" t="n">
        <v>5</v>
      </c>
      <c r="AH594" t="n">
        <v>3</v>
      </c>
      <c r="AI594" t="n">
        <v>3</v>
      </c>
      <c r="AJ594" t="n">
        <v>11</v>
      </c>
      <c r="AK594" t="n">
        <v>12</v>
      </c>
      <c r="AL594" t="n">
        <v>1</v>
      </c>
      <c r="AM594" t="n">
        <v>1</v>
      </c>
      <c r="AN594" t="n">
        <v>0</v>
      </c>
      <c r="AO594" t="n">
        <v>0</v>
      </c>
      <c r="AP594" t="inlineStr">
        <is>
          <t>No</t>
        </is>
      </c>
      <c r="AQ594" t="inlineStr">
        <is>
          <t>No</t>
        </is>
      </c>
      <c r="AR594">
        <f>HYPERLINK("http://catalog.hathitrust.org/Record/007126764","HathiTrust Record")</f>
        <v/>
      </c>
      <c r="AS594">
        <f>HYPERLINK("https://creighton-primo.hosted.exlibrisgroup.com/primo-explore/search?tab=default_tab&amp;search_scope=EVERYTHING&amp;vid=01CRU&amp;lang=en_US&amp;offset=0&amp;query=any,contains,991002411249702656","Catalog Record")</f>
        <v/>
      </c>
      <c r="AT594">
        <f>HYPERLINK("http://www.worldcat.org/oclc/339821","WorldCat Record")</f>
        <v/>
      </c>
      <c r="AU594" t="inlineStr">
        <is>
          <t>2290233424:eng</t>
        </is>
      </c>
      <c r="AV594" t="inlineStr">
        <is>
          <t>339821</t>
        </is>
      </c>
      <c r="AW594" t="inlineStr">
        <is>
          <t>991002411249702656</t>
        </is>
      </c>
      <c r="AX594" t="inlineStr">
        <is>
          <t>991002411249702656</t>
        </is>
      </c>
      <c r="AY594" t="inlineStr">
        <is>
          <t>2258941510002656</t>
        </is>
      </c>
      <c r="AZ594" t="inlineStr">
        <is>
          <t>BOOK</t>
        </is>
      </c>
      <c r="BC594" t="inlineStr">
        <is>
          <t>32285003223962</t>
        </is>
      </c>
      <c r="BD594" t="inlineStr">
        <is>
          <t>893238992</t>
        </is>
      </c>
    </row>
    <row r="595">
      <c r="A595" t="inlineStr">
        <is>
          <t>No</t>
        </is>
      </c>
      <c r="B595" t="inlineStr">
        <is>
          <t>PK3797 .K68</t>
        </is>
      </c>
      <c r="C595" t="inlineStr">
        <is>
          <t>0                      PK 3797000K  68</t>
        </is>
      </c>
      <c r="D595" t="inlineStr">
        <is>
          <t>Kālidāsa, by K. Krishnamoorthy.</t>
        </is>
      </c>
      <c r="F595" t="inlineStr">
        <is>
          <t>No</t>
        </is>
      </c>
      <c r="G595" t="inlineStr">
        <is>
          <t>1</t>
        </is>
      </c>
      <c r="H595" t="inlineStr">
        <is>
          <t>No</t>
        </is>
      </c>
      <c r="I595" t="inlineStr">
        <is>
          <t>No</t>
        </is>
      </c>
      <c r="J595" t="inlineStr">
        <is>
          <t>0</t>
        </is>
      </c>
      <c r="K595" t="inlineStr">
        <is>
          <t>Krishnamoorthy, K., 1923-1997.</t>
        </is>
      </c>
      <c r="L595" t="inlineStr">
        <is>
          <t>New York, Twayne Publishers [1972]</t>
        </is>
      </c>
      <c r="M595" t="inlineStr">
        <is>
          <t>1972</t>
        </is>
      </c>
      <c r="O595" t="inlineStr">
        <is>
          <t>eng</t>
        </is>
      </c>
      <c r="P595" t="inlineStr">
        <is>
          <t>nyu</t>
        </is>
      </c>
      <c r="Q595" t="inlineStr">
        <is>
          <t>Twayne's world authors series, TWAS 208. India</t>
        </is>
      </c>
      <c r="R595" t="inlineStr">
        <is>
          <t xml:space="preserve">PK </t>
        </is>
      </c>
      <c r="S595" t="n">
        <v>3</v>
      </c>
      <c r="T595" t="n">
        <v>3</v>
      </c>
      <c r="U595" t="inlineStr">
        <is>
          <t>2009-10-30</t>
        </is>
      </c>
      <c r="V595" t="inlineStr">
        <is>
          <t>2009-10-30</t>
        </is>
      </c>
      <c r="W595" t="inlineStr">
        <is>
          <t>1997-09-16</t>
        </is>
      </c>
      <c r="X595" t="inlineStr">
        <is>
          <t>1997-09-16</t>
        </is>
      </c>
      <c r="Y595" t="n">
        <v>489</v>
      </c>
      <c r="Z595" t="n">
        <v>447</v>
      </c>
      <c r="AA595" t="n">
        <v>470</v>
      </c>
      <c r="AB595" t="n">
        <v>3</v>
      </c>
      <c r="AC595" t="n">
        <v>3</v>
      </c>
      <c r="AD595" t="n">
        <v>25</v>
      </c>
      <c r="AE595" t="n">
        <v>25</v>
      </c>
      <c r="AF595" t="n">
        <v>9</v>
      </c>
      <c r="AG595" t="n">
        <v>9</v>
      </c>
      <c r="AH595" t="n">
        <v>7</v>
      </c>
      <c r="AI595" t="n">
        <v>7</v>
      </c>
      <c r="AJ595" t="n">
        <v>16</v>
      </c>
      <c r="AK595" t="n">
        <v>16</v>
      </c>
      <c r="AL595" t="n">
        <v>2</v>
      </c>
      <c r="AM595" t="n">
        <v>2</v>
      </c>
      <c r="AN595" t="n">
        <v>0</v>
      </c>
      <c r="AO595" t="n">
        <v>0</v>
      </c>
      <c r="AP595" t="inlineStr">
        <is>
          <t>No</t>
        </is>
      </c>
      <c r="AQ595" t="inlineStr">
        <is>
          <t>Yes</t>
        </is>
      </c>
      <c r="AR595">
        <f>HYPERLINK("http://catalog.hathitrust.org/Record/001005002","HathiTrust Record")</f>
        <v/>
      </c>
      <c r="AS595">
        <f>HYPERLINK("https://creighton-primo.hosted.exlibrisgroup.com/primo-explore/search?tab=default_tab&amp;search_scope=EVERYTHING&amp;vid=01CRU&amp;lang=en_US&amp;offset=0&amp;query=any,contains,991003003979702656","Catalog Record")</f>
        <v/>
      </c>
      <c r="AT595">
        <f>HYPERLINK("http://www.worldcat.org/oclc/571831","WorldCat Record")</f>
        <v/>
      </c>
      <c r="AU595" t="inlineStr">
        <is>
          <t>150720842:eng</t>
        </is>
      </c>
      <c r="AV595" t="inlineStr">
        <is>
          <t>571831</t>
        </is>
      </c>
      <c r="AW595" t="inlineStr">
        <is>
          <t>991003003979702656</t>
        </is>
      </c>
      <c r="AX595" t="inlineStr">
        <is>
          <t>991003003979702656</t>
        </is>
      </c>
      <c r="AY595" t="inlineStr">
        <is>
          <t>2272026270002656</t>
        </is>
      </c>
      <c r="AZ595" t="inlineStr">
        <is>
          <t>BOOK</t>
        </is>
      </c>
      <c r="BC595" t="inlineStr">
        <is>
          <t>32285003223970</t>
        </is>
      </c>
      <c r="BD595" t="inlineStr">
        <is>
          <t>893710946</t>
        </is>
      </c>
    </row>
    <row r="596">
      <c r="A596" t="inlineStr">
        <is>
          <t>No</t>
        </is>
      </c>
      <c r="B596" t="inlineStr">
        <is>
          <t>PK4474.A5 L3</t>
        </is>
      </c>
      <c r="C596" t="inlineStr">
        <is>
          <t>0                      PK 4474000A  5                  L  3</t>
        </is>
      </c>
      <c r="D596" t="inlineStr">
        <is>
          <t>Great Sanskrit plays, in new English transcreations.</t>
        </is>
      </c>
      <c r="F596" t="inlineStr">
        <is>
          <t>No</t>
        </is>
      </c>
      <c r="G596" t="inlineStr">
        <is>
          <t>1</t>
        </is>
      </c>
      <c r="H596" t="inlineStr">
        <is>
          <t>No</t>
        </is>
      </c>
      <c r="I596" t="inlineStr">
        <is>
          <t>No</t>
        </is>
      </c>
      <c r="J596" t="inlineStr">
        <is>
          <t>0</t>
        </is>
      </c>
      <c r="K596" t="inlineStr">
        <is>
          <t>Lal, P. editor, translator.</t>
        </is>
      </c>
      <c r="L596" t="inlineStr">
        <is>
          <t>[New York, New Directions, 1964]</t>
        </is>
      </c>
      <c r="M596" t="inlineStr">
        <is>
          <t>1964</t>
        </is>
      </c>
      <c r="O596" t="inlineStr">
        <is>
          <t>eng</t>
        </is>
      </c>
      <c r="P596" t="inlineStr">
        <is>
          <t>nyu</t>
        </is>
      </c>
      <c r="Q596" t="inlineStr">
        <is>
          <t>A New Directions book</t>
        </is>
      </c>
      <c r="R596" t="inlineStr">
        <is>
          <t xml:space="preserve">PK </t>
        </is>
      </c>
      <c r="S596" t="n">
        <v>3</v>
      </c>
      <c r="T596" t="n">
        <v>3</v>
      </c>
      <c r="U596" t="inlineStr">
        <is>
          <t>2009-10-30</t>
        </is>
      </c>
      <c r="V596" t="inlineStr">
        <is>
          <t>2009-10-30</t>
        </is>
      </c>
      <c r="W596" t="inlineStr">
        <is>
          <t>1997-09-16</t>
        </is>
      </c>
      <c r="X596" t="inlineStr">
        <is>
          <t>1997-09-16</t>
        </is>
      </c>
      <c r="Y596" t="n">
        <v>1155</v>
      </c>
      <c r="Z596" t="n">
        <v>1081</v>
      </c>
      <c r="AA596" t="n">
        <v>1086</v>
      </c>
      <c r="AB596" t="n">
        <v>9</v>
      </c>
      <c r="AC596" t="n">
        <v>9</v>
      </c>
      <c r="AD596" t="n">
        <v>36</v>
      </c>
      <c r="AE596" t="n">
        <v>36</v>
      </c>
      <c r="AF596" t="n">
        <v>13</v>
      </c>
      <c r="AG596" t="n">
        <v>13</v>
      </c>
      <c r="AH596" t="n">
        <v>5</v>
      </c>
      <c r="AI596" t="n">
        <v>5</v>
      </c>
      <c r="AJ596" t="n">
        <v>19</v>
      </c>
      <c r="AK596" t="n">
        <v>19</v>
      </c>
      <c r="AL596" t="n">
        <v>8</v>
      </c>
      <c r="AM596" t="n">
        <v>8</v>
      </c>
      <c r="AN596" t="n">
        <v>0</v>
      </c>
      <c r="AO596" t="n">
        <v>0</v>
      </c>
      <c r="AP596" t="inlineStr">
        <is>
          <t>No</t>
        </is>
      </c>
      <c r="AQ596" t="inlineStr">
        <is>
          <t>Yes</t>
        </is>
      </c>
      <c r="AR596">
        <f>HYPERLINK("http://catalog.hathitrust.org/Record/001110966","HathiTrust Record")</f>
        <v/>
      </c>
      <c r="AS596">
        <f>HYPERLINK("https://creighton-primo.hosted.exlibrisgroup.com/primo-explore/search?tab=default_tab&amp;search_scope=EVERYTHING&amp;vid=01CRU&amp;lang=en_US&amp;offset=0&amp;query=any,contains,991003593979702656","Catalog Record")</f>
        <v/>
      </c>
      <c r="AT596">
        <f>HYPERLINK("http://www.worldcat.org/oclc/1175471","WorldCat Record")</f>
        <v/>
      </c>
      <c r="AU596" t="inlineStr">
        <is>
          <t>9546430817:eng</t>
        </is>
      </c>
      <c r="AV596" t="inlineStr">
        <is>
          <t>1175471</t>
        </is>
      </c>
      <c r="AW596" t="inlineStr">
        <is>
          <t>991003593979702656</t>
        </is>
      </c>
      <c r="AX596" t="inlineStr">
        <is>
          <t>991003593979702656</t>
        </is>
      </c>
      <c r="AY596" t="inlineStr">
        <is>
          <t>2271828410002656</t>
        </is>
      </c>
      <c r="AZ596" t="inlineStr">
        <is>
          <t>BOOK</t>
        </is>
      </c>
      <c r="BC596" t="inlineStr">
        <is>
          <t>32285003224010</t>
        </is>
      </c>
      <c r="BD596" t="inlineStr">
        <is>
          <t>893774910</t>
        </is>
      </c>
    </row>
    <row r="597">
      <c r="A597" t="inlineStr">
        <is>
          <t>No</t>
        </is>
      </c>
      <c r="B597" t="inlineStr">
        <is>
          <t>PK6235 .L35 1961</t>
        </is>
      </c>
      <c r="C597" t="inlineStr">
        <is>
          <t>0                      PK 6235000L  35          1961</t>
        </is>
      </c>
      <c r="D597" t="inlineStr">
        <is>
          <t>Persian grammar.</t>
        </is>
      </c>
      <c r="F597" t="inlineStr">
        <is>
          <t>No</t>
        </is>
      </c>
      <c r="G597" t="inlineStr">
        <is>
          <t>1</t>
        </is>
      </c>
      <c r="H597" t="inlineStr">
        <is>
          <t>No</t>
        </is>
      </c>
      <c r="I597" t="inlineStr">
        <is>
          <t>No</t>
        </is>
      </c>
      <c r="J597" t="inlineStr">
        <is>
          <t>0</t>
        </is>
      </c>
      <c r="K597" t="inlineStr">
        <is>
          <t>Lambton, Ann K. S., 1912-2008.</t>
        </is>
      </c>
      <c r="L597" t="inlineStr">
        <is>
          <t>Cambridge [Eng.] Univerisity Press, 1961.</t>
        </is>
      </c>
      <c r="M597" t="inlineStr">
        <is>
          <t>1961</t>
        </is>
      </c>
      <c r="N597" t="inlineStr">
        <is>
          <t>[Reprinted with corrections. Students' ed.]</t>
        </is>
      </c>
      <c r="O597" t="inlineStr">
        <is>
          <t>eng</t>
        </is>
      </c>
      <c r="P597" t="inlineStr">
        <is>
          <t>enk</t>
        </is>
      </c>
      <c r="R597" t="inlineStr">
        <is>
          <t xml:space="preserve">PK </t>
        </is>
      </c>
      <c r="S597" t="n">
        <v>4</v>
      </c>
      <c r="T597" t="n">
        <v>4</v>
      </c>
      <c r="U597" t="inlineStr">
        <is>
          <t>2007-11-13</t>
        </is>
      </c>
      <c r="V597" t="inlineStr">
        <is>
          <t>2007-11-13</t>
        </is>
      </c>
      <c r="W597" t="inlineStr">
        <is>
          <t>1997-09-16</t>
        </is>
      </c>
      <c r="X597" t="inlineStr">
        <is>
          <t>1997-09-16</t>
        </is>
      </c>
      <c r="Y597" t="n">
        <v>82</v>
      </c>
      <c r="Z597" t="n">
        <v>77</v>
      </c>
      <c r="AA597" t="n">
        <v>210</v>
      </c>
      <c r="AB597" t="n">
        <v>1</v>
      </c>
      <c r="AC597" t="n">
        <v>3</v>
      </c>
      <c r="AD597" t="n">
        <v>1</v>
      </c>
      <c r="AE597" t="n">
        <v>8</v>
      </c>
      <c r="AF597" t="n">
        <v>0</v>
      </c>
      <c r="AG597" t="n">
        <v>0</v>
      </c>
      <c r="AH597" t="n">
        <v>0</v>
      </c>
      <c r="AI597" t="n">
        <v>2</v>
      </c>
      <c r="AJ597" t="n">
        <v>1</v>
      </c>
      <c r="AK597" t="n">
        <v>6</v>
      </c>
      <c r="AL597" t="n">
        <v>0</v>
      </c>
      <c r="AM597" t="n">
        <v>2</v>
      </c>
      <c r="AN597" t="n">
        <v>0</v>
      </c>
      <c r="AO597" t="n">
        <v>0</v>
      </c>
      <c r="AP597" t="inlineStr">
        <is>
          <t>No</t>
        </is>
      </c>
      <c r="AQ597" t="inlineStr">
        <is>
          <t>No</t>
        </is>
      </c>
      <c r="AS597">
        <f>HYPERLINK("https://creighton-primo.hosted.exlibrisgroup.com/primo-explore/search?tab=default_tab&amp;search_scope=EVERYTHING&amp;vid=01CRU&amp;lang=en_US&amp;offset=0&amp;query=any,contains,991002368649702656","Catalog Record")</f>
        <v/>
      </c>
      <c r="AT597">
        <f>HYPERLINK("http://www.worldcat.org/oclc/326740","WorldCat Record")</f>
        <v/>
      </c>
      <c r="AU597" t="inlineStr">
        <is>
          <t>140486975:eng</t>
        </is>
      </c>
      <c r="AV597" t="inlineStr">
        <is>
          <t>326740</t>
        </is>
      </c>
      <c r="AW597" t="inlineStr">
        <is>
          <t>991002368649702656</t>
        </is>
      </c>
      <c r="AX597" t="inlineStr">
        <is>
          <t>991002368649702656</t>
        </is>
      </c>
      <c r="AY597" t="inlineStr">
        <is>
          <t>2272069830002656</t>
        </is>
      </c>
      <c r="AZ597" t="inlineStr">
        <is>
          <t>BOOK</t>
        </is>
      </c>
      <c r="BC597" t="inlineStr">
        <is>
          <t>32285003224051</t>
        </is>
      </c>
      <c r="BD597" t="inlineStr">
        <is>
          <t>893523523</t>
        </is>
      </c>
    </row>
    <row r="598">
      <c r="A598" t="inlineStr">
        <is>
          <t>No</t>
        </is>
      </c>
      <c r="B598" t="inlineStr">
        <is>
          <t>PK6406 .L38</t>
        </is>
      </c>
      <c r="C598" t="inlineStr">
        <is>
          <t>0                      PK 6406000L  38</t>
        </is>
      </c>
      <c r="D598" t="inlineStr">
        <is>
          <t>An introduction to Persian literature.</t>
        </is>
      </c>
      <c r="F598" t="inlineStr">
        <is>
          <t>No</t>
        </is>
      </c>
      <c r="G598" t="inlineStr">
        <is>
          <t>1</t>
        </is>
      </c>
      <c r="H598" t="inlineStr">
        <is>
          <t>No</t>
        </is>
      </c>
      <c r="I598" t="inlineStr">
        <is>
          <t>No</t>
        </is>
      </c>
      <c r="J598" t="inlineStr">
        <is>
          <t>0</t>
        </is>
      </c>
      <c r="K598" t="inlineStr">
        <is>
          <t>Levy, Reuben.</t>
        </is>
      </c>
      <c r="L598" t="inlineStr">
        <is>
          <t>New York, Columbia University Press, 1969.</t>
        </is>
      </c>
      <c r="M598" t="inlineStr">
        <is>
          <t>1969</t>
        </is>
      </c>
      <c r="O598" t="inlineStr">
        <is>
          <t>eng</t>
        </is>
      </c>
      <c r="P598" t="inlineStr">
        <is>
          <t>nyu</t>
        </is>
      </c>
      <c r="Q598" t="inlineStr">
        <is>
          <t>UNESCO introductions to Asian literatures. Persian heritage series</t>
        </is>
      </c>
      <c r="R598" t="inlineStr">
        <is>
          <t xml:space="preserve">PK </t>
        </is>
      </c>
      <c r="S598" t="n">
        <v>9</v>
      </c>
      <c r="T598" t="n">
        <v>9</v>
      </c>
      <c r="U598" t="inlineStr">
        <is>
          <t>2010-10-04</t>
        </is>
      </c>
      <c r="V598" t="inlineStr">
        <is>
          <t>2010-10-04</t>
        </is>
      </c>
      <c r="W598" t="inlineStr">
        <is>
          <t>1997-09-16</t>
        </is>
      </c>
      <c r="X598" t="inlineStr">
        <is>
          <t>1997-09-16</t>
        </is>
      </c>
      <c r="Y598" t="n">
        <v>855</v>
      </c>
      <c r="Z598" t="n">
        <v>740</v>
      </c>
      <c r="AA598" t="n">
        <v>744</v>
      </c>
      <c r="AB598" t="n">
        <v>5</v>
      </c>
      <c r="AC598" t="n">
        <v>5</v>
      </c>
      <c r="AD598" t="n">
        <v>27</v>
      </c>
      <c r="AE598" t="n">
        <v>27</v>
      </c>
      <c r="AF598" t="n">
        <v>11</v>
      </c>
      <c r="AG598" t="n">
        <v>11</v>
      </c>
      <c r="AH598" t="n">
        <v>7</v>
      </c>
      <c r="AI598" t="n">
        <v>7</v>
      </c>
      <c r="AJ598" t="n">
        <v>13</v>
      </c>
      <c r="AK598" t="n">
        <v>13</v>
      </c>
      <c r="AL598" t="n">
        <v>3</v>
      </c>
      <c r="AM598" t="n">
        <v>3</v>
      </c>
      <c r="AN598" t="n">
        <v>0</v>
      </c>
      <c r="AO598" t="n">
        <v>0</v>
      </c>
      <c r="AP598" t="inlineStr">
        <is>
          <t>No</t>
        </is>
      </c>
      <c r="AQ598" t="inlineStr">
        <is>
          <t>No</t>
        </is>
      </c>
      <c r="AS598">
        <f>HYPERLINK("https://creighton-primo.hosted.exlibrisgroup.com/primo-explore/search?tab=default_tab&amp;search_scope=EVERYTHING&amp;vid=01CRU&amp;lang=en_US&amp;offset=0&amp;query=any,contains,991000001149702656","Catalog Record")</f>
        <v/>
      </c>
      <c r="AT598">
        <f>HYPERLINK("http://www.worldcat.org/oclc/10195","WorldCat Record")</f>
        <v/>
      </c>
      <c r="AU598" t="inlineStr">
        <is>
          <t>3855301720:eng</t>
        </is>
      </c>
      <c r="AV598" t="inlineStr">
        <is>
          <t>10195</t>
        </is>
      </c>
      <c r="AW598" t="inlineStr">
        <is>
          <t>991000001149702656</t>
        </is>
      </c>
      <c r="AX598" t="inlineStr">
        <is>
          <t>991000001149702656</t>
        </is>
      </c>
      <c r="AY598" t="inlineStr">
        <is>
          <t>2268340300002656</t>
        </is>
      </c>
      <c r="AZ598" t="inlineStr">
        <is>
          <t>BOOK</t>
        </is>
      </c>
      <c r="BC598" t="inlineStr">
        <is>
          <t>32285003224069</t>
        </is>
      </c>
      <c r="BD598" t="inlineStr">
        <is>
          <t>893502127</t>
        </is>
      </c>
    </row>
    <row r="599">
      <c r="A599" t="inlineStr">
        <is>
          <t>No</t>
        </is>
      </c>
      <c r="B599" t="inlineStr">
        <is>
          <t>PK6406 .L4 1974b</t>
        </is>
      </c>
      <c r="C599" t="inlineStr">
        <is>
          <t>0                      PK 6406000L  4           1974b</t>
        </is>
      </c>
      <c r="D599" t="inlineStr">
        <is>
          <t>Persian literature; an introduction / Reuben Levy.</t>
        </is>
      </c>
      <c r="F599" t="inlineStr">
        <is>
          <t>No</t>
        </is>
      </c>
      <c r="G599" t="inlineStr">
        <is>
          <t>1</t>
        </is>
      </c>
      <c r="H599" t="inlineStr">
        <is>
          <t>No</t>
        </is>
      </c>
      <c r="I599" t="inlineStr">
        <is>
          <t>No</t>
        </is>
      </c>
      <c r="J599" t="inlineStr">
        <is>
          <t>0</t>
        </is>
      </c>
      <c r="K599" t="inlineStr">
        <is>
          <t>Levy, Reuben.</t>
        </is>
      </c>
      <c r="L599" t="inlineStr">
        <is>
          <t>Westport, Conn. : Greenwood Press, [1974]</t>
        </is>
      </c>
      <c r="M599" t="inlineStr">
        <is>
          <t>1974</t>
        </is>
      </c>
      <c r="O599" t="inlineStr">
        <is>
          <t>eng</t>
        </is>
      </c>
      <c r="P599" t="inlineStr">
        <is>
          <t>ctu</t>
        </is>
      </c>
      <c r="R599" t="inlineStr">
        <is>
          <t xml:space="preserve">PK </t>
        </is>
      </c>
      <c r="S599" t="n">
        <v>6</v>
      </c>
      <c r="T599" t="n">
        <v>6</v>
      </c>
      <c r="U599" t="inlineStr">
        <is>
          <t>2010-09-21</t>
        </is>
      </c>
      <c r="V599" t="inlineStr">
        <is>
          <t>2010-09-21</t>
        </is>
      </c>
      <c r="W599" t="inlineStr">
        <is>
          <t>1993-05-04</t>
        </is>
      </c>
      <c r="X599" t="inlineStr">
        <is>
          <t>1993-05-04</t>
        </is>
      </c>
      <c r="Y599" t="n">
        <v>71</v>
      </c>
      <c r="Z599" t="n">
        <v>59</v>
      </c>
      <c r="AA599" t="n">
        <v>290</v>
      </c>
      <c r="AB599" t="n">
        <v>1</v>
      </c>
      <c r="AC599" t="n">
        <v>1</v>
      </c>
      <c r="AD599" t="n">
        <v>3</v>
      </c>
      <c r="AE599" t="n">
        <v>13</v>
      </c>
      <c r="AF599" t="n">
        <v>2</v>
      </c>
      <c r="AG599" t="n">
        <v>7</v>
      </c>
      <c r="AH599" t="n">
        <v>2</v>
      </c>
      <c r="AI599" t="n">
        <v>4</v>
      </c>
      <c r="AJ599" t="n">
        <v>0</v>
      </c>
      <c r="AK599" t="n">
        <v>8</v>
      </c>
      <c r="AL599" t="n">
        <v>0</v>
      </c>
      <c r="AM599" t="n">
        <v>0</v>
      </c>
      <c r="AN599" t="n">
        <v>0</v>
      </c>
      <c r="AO599" t="n">
        <v>0</v>
      </c>
      <c r="AP599" t="inlineStr">
        <is>
          <t>No</t>
        </is>
      </c>
      <c r="AQ599" t="inlineStr">
        <is>
          <t>No</t>
        </is>
      </c>
      <c r="AS599">
        <f>HYPERLINK("https://creighton-primo.hosted.exlibrisgroup.com/primo-explore/search?tab=default_tab&amp;search_scope=EVERYTHING&amp;vid=01CRU&amp;lang=en_US&amp;offset=0&amp;query=any,contains,991003484759702656","Catalog Record")</f>
        <v/>
      </c>
      <c r="AT599">
        <f>HYPERLINK("http://www.worldcat.org/oclc/1032164","WorldCat Record")</f>
        <v/>
      </c>
      <c r="AU599" t="inlineStr">
        <is>
          <t>152209233:eng</t>
        </is>
      </c>
      <c r="AV599" t="inlineStr">
        <is>
          <t>1032164</t>
        </is>
      </c>
      <c r="AW599" t="inlineStr">
        <is>
          <t>991003484759702656</t>
        </is>
      </c>
      <c r="AX599" t="inlineStr">
        <is>
          <t>991003484759702656</t>
        </is>
      </c>
      <c r="AY599" t="inlineStr">
        <is>
          <t>2268123400002656</t>
        </is>
      </c>
      <c r="AZ599" t="inlineStr">
        <is>
          <t>BOOK</t>
        </is>
      </c>
      <c r="BB599" t="inlineStr">
        <is>
          <t>9780837176246</t>
        </is>
      </c>
      <c r="BC599" t="inlineStr">
        <is>
          <t>32285001671469</t>
        </is>
      </c>
      <c r="BD599" t="inlineStr">
        <is>
          <t>893422609</t>
        </is>
      </c>
    </row>
    <row r="600">
      <c r="A600" t="inlineStr">
        <is>
          <t>No</t>
        </is>
      </c>
      <c r="B600" t="inlineStr">
        <is>
          <t>PK6456.A1 L4 1967</t>
        </is>
      </c>
      <c r="C600" t="inlineStr">
        <is>
          <t>0                      PK 6456000A  1                  L  4           1967</t>
        </is>
      </c>
      <c r="D600" t="inlineStr">
        <is>
          <t>The epic of the kings; Shah-nama, the national epic of Persia, by Ferdowsi. Translated by Reuben Levy.</t>
        </is>
      </c>
      <c r="F600" t="inlineStr">
        <is>
          <t>No</t>
        </is>
      </c>
      <c r="G600" t="inlineStr">
        <is>
          <t>1</t>
        </is>
      </c>
      <c r="H600" t="inlineStr">
        <is>
          <t>No</t>
        </is>
      </c>
      <c r="I600" t="inlineStr">
        <is>
          <t>No</t>
        </is>
      </c>
      <c r="J600" t="inlineStr">
        <is>
          <t>0</t>
        </is>
      </c>
      <c r="K600" t="inlineStr">
        <is>
          <t>Firdawsī.</t>
        </is>
      </c>
      <c r="L600" t="inlineStr">
        <is>
          <t>[Chicago] University of Chicago Press [1967]</t>
        </is>
      </c>
      <c r="M600" t="inlineStr">
        <is>
          <t>1967</t>
        </is>
      </c>
      <c r="O600" t="inlineStr">
        <is>
          <t>eng</t>
        </is>
      </c>
      <c r="P600" t="inlineStr">
        <is>
          <t>ilu</t>
        </is>
      </c>
      <c r="Q600" t="inlineStr">
        <is>
          <t>UNESCO collection of representative works: Persian heritage series ; [no. 3]</t>
        </is>
      </c>
      <c r="R600" t="inlineStr">
        <is>
          <t xml:space="preserve">PK </t>
        </is>
      </c>
      <c r="S600" t="n">
        <v>3</v>
      </c>
      <c r="T600" t="n">
        <v>3</v>
      </c>
      <c r="U600" t="inlineStr">
        <is>
          <t>2006-10-23</t>
        </is>
      </c>
      <c r="V600" t="inlineStr">
        <is>
          <t>2006-10-23</t>
        </is>
      </c>
      <c r="W600" t="inlineStr">
        <is>
          <t>1997-09-16</t>
        </is>
      </c>
      <c r="X600" t="inlineStr">
        <is>
          <t>1997-09-16</t>
        </is>
      </c>
      <c r="Y600" t="n">
        <v>485</v>
      </c>
      <c r="Z600" t="n">
        <v>450</v>
      </c>
      <c r="AA600" t="n">
        <v>1313</v>
      </c>
      <c r="AB600" t="n">
        <v>5</v>
      </c>
      <c r="AC600" t="n">
        <v>14</v>
      </c>
      <c r="AD600" t="n">
        <v>19</v>
      </c>
      <c r="AE600" t="n">
        <v>44</v>
      </c>
      <c r="AF600" t="n">
        <v>5</v>
      </c>
      <c r="AG600" t="n">
        <v>13</v>
      </c>
      <c r="AH600" t="n">
        <v>4</v>
      </c>
      <c r="AI600" t="n">
        <v>7</v>
      </c>
      <c r="AJ600" t="n">
        <v>8</v>
      </c>
      <c r="AK600" t="n">
        <v>16</v>
      </c>
      <c r="AL600" t="n">
        <v>4</v>
      </c>
      <c r="AM600" t="n">
        <v>12</v>
      </c>
      <c r="AN600" t="n">
        <v>0</v>
      </c>
      <c r="AO600" t="n">
        <v>1</v>
      </c>
      <c r="AP600" t="inlineStr">
        <is>
          <t>No</t>
        </is>
      </c>
      <c r="AQ600" t="inlineStr">
        <is>
          <t>No</t>
        </is>
      </c>
      <c r="AS600">
        <f>HYPERLINK("https://creighton-primo.hosted.exlibrisgroup.com/primo-explore/search?tab=default_tab&amp;search_scope=EVERYTHING&amp;vid=01CRU&amp;lang=en_US&amp;offset=0&amp;query=any,contains,991002353929702656","Catalog Record")</f>
        <v/>
      </c>
      <c r="AT600">
        <f>HYPERLINK("http://www.worldcat.org/oclc/325392","WorldCat Record")</f>
        <v/>
      </c>
      <c r="AU600" t="inlineStr">
        <is>
          <t>3372748930:eng</t>
        </is>
      </c>
      <c r="AV600" t="inlineStr">
        <is>
          <t>325392</t>
        </is>
      </c>
      <c r="AW600" t="inlineStr">
        <is>
          <t>991002353929702656</t>
        </is>
      </c>
      <c r="AX600" t="inlineStr">
        <is>
          <t>991002353929702656</t>
        </is>
      </c>
      <c r="AY600" t="inlineStr">
        <is>
          <t>2269788830002656</t>
        </is>
      </c>
      <c r="AZ600" t="inlineStr">
        <is>
          <t>BOOK</t>
        </is>
      </c>
      <c r="BC600" t="inlineStr">
        <is>
          <t>32285003224101</t>
        </is>
      </c>
      <c r="BD600" t="inlineStr">
        <is>
          <t>893809440</t>
        </is>
      </c>
    </row>
    <row r="601">
      <c r="A601" t="inlineStr">
        <is>
          <t>No</t>
        </is>
      </c>
      <c r="B601" t="inlineStr">
        <is>
          <t>PK6525 .M4</t>
        </is>
      </c>
      <c r="C601" t="inlineStr">
        <is>
          <t>0                      PK 6525000M  4</t>
        </is>
      </c>
      <c r="D601" t="inlineStr">
        <is>
          <t>A comparative analysis of Edward Fitzgerald's and Robert Graves's translation of The Rubaiyat of Omar Khayyam / by Bahram Meghdadi.</t>
        </is>
      </c>
      <c r="F601" t="inlineStr">
        <is>
          <t>No</t>
        </is>
      </c>
      <c r="G601" t="inlineStr">
        <is>
          <t>1</t>
        </is>
      </c>
      <c r="H601" t="inlineStr">
        <is>
          <t>No</t>
        </is>
      </c>
      <c r="I601" t="inlineStr">
        <is>
          <t>No</t>
        </is>
      </c>
      <c r="J601" t="inlineStr">
        <is>
          <t>0</t>
        </is>
      </c>
      <c r="K601" t="inlineStr">
        <is>
          <t>Meghdadi, Bahram, 1940-</t>
        </is>
      </c>
      <c r="L601" t="inlineStr">
        <is>
          <t>[s.l. : s.n.], 1969.</t>
        </is>
      </c>
      <c r="M601" t="inlineStr">
        <is>
          <t>1969</t>
        </is>
      </c>
      <c r="O601" t="inlineStr">
        <is>
          <t>eng</t>
        </is>
      </c>
      <c r="P601" t="inlineStr">
        <is>
          <t xml:space="preserve">xx </t>
        </is>
      </c>
      <c r="R601" t="inlineStr">
        <is>
          <t xml:space="preserve">PK </t>
        </is>
      </c>
      <c r="S601" t="n">
        <v>0</v>
      </c>
      <c r="T601" t="n">
        <v>0</v>
      </c>
      <c r="U601" t="inlineStr">
        <is>
          <t>2000-08-25</t>
        </is>
      </c>
      <c r="V601" t="inlineStr">
        <is>
          <t>2000-08-25</t>
        </is>
      </c>
      <c r="W601" t="inlineStr">
        <is>
          <t>1997-09-16</t>
        </is>
      </c>
      <c r="X601" t="inlineStr">
        <is>
          <t>1997-09-16</t>
        </is>
      </c>
      <c r="Y601" t="n">
        <v>3</v>
      </c>
      <c r="Z601" t="n">
        <v>3</v>
      </c>
      <c r="AA601" t="n">
        <v>4</v>
      </c>
      <c r="AB601" t="n">
        <v>1</v>
      </c>
      <c r="AC601" t="n">
        <v>1</v>
      </c>
      <c r="AD601" t="n">
        <v>1</v>
      </c>
      <c r="AE601" t="n">
        <v>1</v>
      </c>
      <c r="AF601" t="n">
        <v>0</v>
      </c>
      <c r="AG601" t="n">
        <v>0</v>
      </c>
      <c r="AH601" t="n">
        <v>0</v>
      </c>
      <c r="AI601" t="n">
        <v>0</v>
      </c>
      <c r="AJ601" t="n">
        <v>1</v>
      </c>
      <c r="AK601" t="n">
        <v>1</v>
      </c>
      <c r="AL601" t="n">
        <v>0</v>
      </c>
      <c r="AM601" t="n">
        <v>0</v>
      </c>
      <c r="AN601" t="n">
        <v>0</v>
      </c>
      <c r="AO601" t="n">
        <v>0</v>
      </c>
      <c r="AP601" t="inlineStr">
        <is>
          <t>No</t>
        </is>
      </c>
      <c r="AQ601" t="inlineStr">
        <is>
          <t>No</t>
        </is>
      </c>
      <c r="AS601">
        <f>HYPERLINK("https://creighton-primo.hosted.exlibrisgroup.com/primo-explore/search?tab=default_tab&amp;search_scope=EVERYTHING&amp;vid=01CRU&amp;lang=en_US&amp;offset=0&amp;query=any,contains,991004495409702656","Catalog Record")</f>
        <v/>
      </c>
      <c r="AT601">
        <f>HYPERLINK("http://www.worldcat.org/oclc/3694147","WorldCat Record")</f>
        <v/>
      </c>
      <c r="AU601" t="inlineStr">
        <is>
          <t>63699376:eng</t>
        </is>
      </c>
      <c r="AV601" t="inlineStr">
        <is>
          <t>3694147</t>
        </is>
      </c>
      <c r="AW601" t="inlineStr">
        <is>
          <t>991004495409702656</t>
        </is>
      </c>
      <c r="AX601" t="inlineStr">
        <is>
          <t>991004495409702656</t>
        </is>
      </c>
      <c r="AY601" t="inlineStr">
        <is>
          <t>2255836450002656</t>
        </is>
      </c>
      <c r="AZ601" t="inlineStr">
        <is>
          <t>BOOK</t>
        </is>
      </c>
      <c r="BC601" t="inlineStr">
        <is>
          <t>32285003224192</t>
        </is>
      </c>
      <c r="BD601" t="inlineStr">
        <is>
          <t>893712666</t>
        </is>
      </c>
    </row>
    <row r="602">
      <c r="A602" t="inlineStr">
        <is>
          <t>No</t>
        </is>
      </c>
      <c r="B602" t="inlineStr">
        <is>
          <t>PK8547.N4 H514 1973</t>
        </is>
      </c>
      <c r="C602" t="inlineStr">
        <is>
          <t>0                      PK 8547000N  4                  H  514         1973</t>
        </is>
      </c>
      <c r="D602" t="inlineStr">
        <is>
          <t>Jésus, fils unique du Père / Nersēs Šnorhali ; introd., traduction de l'arménien et notes par Isaac Kéchichian.</t>
        </is>
      </c>
      <c r="F602" t="inlineStr">
        <is>
          <t>No</t>
        </is>
      </c>
      <c r="G602" t="inlineStr">
        <is>
          <t>1</t>
        </is>
      </c>
      <c r="H602" t="inlineStr">
        <is>
          <t>No</t>
        </is>
      </c>
      <c r="I602" t="inlineStr">
        <is>
          <t>No</t>
        </is>
      </c>
      <c r="J602" t="inlineStr">
        <is>
          <t>0</t>
        </is>
      </c>
      <c r="K602" t="inlineStr">
        <is>
          <t>Nersēs, Shnorhali, Saint, 1102-1173.</t>
        </is>
      </c>
      <c r="L602" t="inlineStr">
        <is>
          <t>Paris : Éditions du Cerf, 1973.</t>
        </is>
      </c>
      <c r="M602" t="inlineStr">
        <is>
          <t>1973</t>
        </is>
      </c>
      <c r="O602" t="inlineStr">
        <is>
          <t>fre</t>
        </is>
      </c>
      <c r="P602" t="inlineStr">
        <is>
          <t xml:space="preserve">fr </t>
        </is>
      </c>
      <c r="Q602" t="inlineStr">
        <is>
          <t>Sources chrétiennes ; no 203</t>
        </is>
      </c>
      <c r="R602" t="inlineStr">
        <is>
          <t xml:space="preserve">PK </t>
        </is>
      </c>
      <c r="S602" t="n">
        <v>4</v>
      </c>
      <c r="T602" t="n">
        <v>4</v>
      </c>
      <c r="U602" t="inlineStr">
        <is>
          <t>2003-10-18</t>
        </is>
      </c>
      <c r="V602" t="inlineStr">
        <is>
          <t>2003-10-18</t>
        </is>
      </c>
      <c r="W602" t="inlineStr">
        <is>
          <t>1993-05-04</t>
        </is>
      </c>
      <c r="X602" t="inlineStr">
        <is>
          <t>1993-05-04</t>
        </is>
      </c>
      <c r="Y602" t="n">
        <v>210</v>
      </c>
      <c r="Z602" t="n">
        <v>137</v>
      </c>
      <c r="AA602" t="n">
        <v>139</v>
      </c>
      <c r="AB602" t="n">
        <v>2</v>
      </c>
      <c r="AC602" t="n">
        <v>2</v>
      </c>
      <c r="AD602" t="n">
        <v>17</v>
      </c>
      <c r="AE602" t="n">
        <v>17</v>
      </c>
      <c r="AF602" t="n">
        <v>3</v>
      </c>
      <c r="AG602" t="n">
        <v>3</v>
      </c>
      <c r="AH602" t="n">
        <v>4</v>
      </c>
      <c r="AI602" t="n">
        <v>4</v>
      </c>
      <c r="AJ602" t="n">
        <v>12</v>
      </c>
      <c r="AK602" t="n">
        <v>12</v>
      </c>
      <c r="AL602" t="n">
        <v>1</v>
      </c>
      <c r="AM602" t="n">
        <v>1</v>
      </c>
      <c r="AN602" t="n">
        <v>0</v>
      </c>
      <c r="AO602" t="n">
        <v>0</v>
      </c>
      <c r="AP602" t="inlineStr">
        <is>
          <t>No</t>
        </is>
      </c>
      <c r="AQ602" t="inlineStr">
        <is>
          <t>Yes</t>
        </is>
      </c>
      <c r="AR602">
        <f>HYPERLINK("http://catalog.hathitrust.org/Record/001006090","HathiTrust Record")</f>
        <v/>
      </c>
      <c r="AS602">
        <f>HYPERLINK("https://creighton-primo.hosted.exlibrisgroup.com/primo-explore/search?tab=default_tab&amp;search_scope=EVERYTHING&amp;vid=01CRU&amp;lang=en_US&amp;offset=0&amp;query=any,contains,991004328589702656","Catalog Record")</f>
        <v/>
      </c>
      <c r="AT602">
        <f>HYPERLINK("http://www.worldcat.org/oclc/3052074","WorldCat Record")</f>
        <v/>
      </c>
      <c r="AU602" t="inlineStr">
        <is>
          <t>354988706:fre</t>
        </is>
      </c>
      <c r="AV602" t="inlineStr">
        <is>
          <t>3052074</t>
        </is>
      </c>
      <c r="AW602" t="inlineStr">
        <is>
          <t>991004328589702656</t>
        </is>
      </c>
      <c r="AX602" t="inlineStr">
        <is>
          <t>991004328589702656</t>
        </is>
      </c>
      <c r="AY602" t="inlineStr">
        <is>
          <t>2262873010002656</t>
        </is>
      </c>
      <c r="AZ602" t="inlineStr">
        <is>
          <t>BOOK</t>
        </is>
      </c>
      <c r="BC602" t="inlineStr">
        <is>
          <t>32285001671493</t>
        </is>
      </c>
      <c r="BD602" t="inlineStr">
        <is>
          <t>893535921</t>
        </is>
      </c>
    </row>
    <row r="603">
      <c r="A603" t="inlineStr">
        <is>
          <t>No</t>
        </is>
      </c>
      <c r="B603" t="inlineStr">
        <is>
          <t>PL1075 .F6 1973</t>
        </is>
      </c>
      <c r="C603" t="inlineStr">
        <is>
          <t>0                      PL 1075000F  6           1973</t>
        </is>
      </c>
      <c r="D603" t="inlineStr">
        <is>
          <t>The Chinese language / by R.A.D. Forrest.</t>
        </is>
      </c>
      <c r="F603" t="inlineStr">
        <is>
          <t>No</t>
        </is>
      </c>
      <c r="G603" t="inlineStr">
        <is>
          <t>1</t>
        </is>
      </c>
      <c r="H603" t="inlineStr">
        <is>
          <t>No</t>
        </is>
      </c>
      <c r="I603" t="inlineStr">
        <is>
          <t>No</t>
        </is>
      </c>
      <c r="J603" t="inlineStr">
        <is>
          <t>0</t>
        </is>
      </c>
      <c r="K603" t="inlineStr">
        <is>
          <t>Forrest, R. A. D. (Robert Andrew Dermod), 1893-</t>
        </is>
      </c>
      <c r="L603" t="inlineStr">
        <is>
          <t>London : Faber and Faber, [1973]</t>
        </is>
      </c>
      <c r="M603" t="inlineStr">
        <is>
          <t>1973</t>
        </is>
      </c>
      <c r="N603" t="inlineStr">
        <is>
          <t>3d ed.</t>
        </is>
      </c>
      <c r="O603" t="inlineStr">
        <is>
          <t>eng</t>
        </is>
      </c>
      <c r="P603" t="inlineStr">
        <is>
          <t xml:space="preserve">xx </t>
        </is>
      </c>
      <c r="Q603" t="inlineStr">
        <is>
          <t>The Great languages.</t>
        </is>
      </c>
      <c r="R603" t="inlineStr">
        <is>
          <t xml:space="preserve">PL </t>
        </is>
      </c>
      <c r="S603" t="n">
        <v>6</v>
      </c>
      <c r="T603" t="n">
        <v>6</v>
      </c>
      <c r="U603" t="inlineStr">
        <is>
          <t>2005-03-10</t>
        </is>
      </c>
      <c r="V603" t="inlineStr">
        <is>
          <t>2005-03-10</t>
        </is>
      </c>
      <c r="W603" t="inlineStr">
        <is>
          <t>1991-05-17</t>
        </is>
      </c>
      <c r="X603" t="inlineStr">
        <is>
          <t>1991-05-17</t>
        </is>
      </c>
      <c r="Y603" t="n">
        <v>221</v>
      </c>
      <c r="Z603" t="n">
        <v>138</v>
      </c>
      <c r="AA603" t="n">
        <v>509</v>
      </c>
      <c r="AB603" t="n">
        <v>2</v>
      </c>
      <c r="AC603" t="n">
        <v>3</v>
      </c>
      <c r="AD603" t="n">
        <v>3</v>
      </c>
      <c r="AE603" t="n">
        <v>19</v>
      </c>
      <c r="AF603" t="n">
        <v>0</v>
      </c>
      <c r="AG603" t="n">
        <v>4</v>
      </c>
      <c r="AH603" t="n">
        <v>1</v>
      </c>
      <c r="AI603" t="n">
        <v>5</v>
      </c>
      <c r="AJ603" t="n">
        <v>2</v>
      </c>
      <c r="AK603" t="n">
        <v>11</v>
      </c>
      <c r="AL603" t="n">
        <v>1</v>
      </c>
      <c r="AM603" t="n">
        <v>2</v>
      </c>
      <c r="AN603" t="n">
        <v>0</v>
      </c>
      <c r="AO603" t="n">
        <v>0</v>
      </c>
      <c r="AP603" t="inlineStr">
        <is>
          <t>No</t>
        </is>
      </c>
      <c r="AQ603" t="inlineStr">
        <is>
          <t>No</t>
        </is>
      </c>
      <c r="AS603">
        <f>HYPERLINK("https://creighton-primo.hosted.exlibrisgroup.com/primo-explore/search?tab=default_tab&amp;search_scope=EVERYTHING&amp;vid=01CRU&amp;lang=en_US&amp;offset=0&amp;query=any,contains,991003438749702656","Catalog Record")</f>
        <v/>
      </c>
      <c r="AT603">
        <f>HYPERLINK("http://www.worldcat.org/oclc/974618","WorldCat Record")</f>
        <v/>
      </c>
      <c r="AU603" t="inlineStr">
        <is>
          <t>1631235:eng</t>
        </is>
      </c>
      <c r="AV603" t="inlineStr">
        <is>
          <t>974618</t>
        </is>
      </c>
      <c r="AW603" t="inlineStr">
        <is>
          <t>991003438749702656</t>
        </is>
      </c>
      <c r="AX603" t="inlineStr">
        <is>
          <t>991003438749702656</t>
        </is>
      </c>
      <c r="AY603" t="inlineStr">
        <is>
          <t>2257665460002656</t>
        </is>
      </c>
      <c r="AZ603" t="inlineStr">
        <is>
          <t>BOOK</t>
        </is>
      </c>
      <c r="BB603" t="inlineStr">
        <is>
          <t>9780571048151</t>
        </is>
      </c>
      <c r="BC603" t="inlineStr">
        <is>
          <t>32285000596519</t>
        </is>
      </c>
      <c r="BD603" t="inlineStr">
        <is>
          <t>893524809</t>
        </is>
      </c>
    </row>
    <row r="604">
      <c r="A604" t="inlineStr">
        <is>
          <t>No</t>
        </is>
      </c>
      <c r="B604" t="inlineStr">
        <is>
          <t>PL1093 .W6</t>
        </is>
      </c>
      <c r="C604" t="inlineStr">
        <is>
          <t>0                      PL 1093000W  6</t>
        </is>
      </c>
      <c r="D604" t="inlineStr">
        <is>
          <t>An easy guide to everyday Chinese / calligraphy by Jeanette Chien.</t>
        </is>
      </c>
      <c r="F604" t="inlineStr">
        <is>
          <t>No</t>
        </is>
      </c>
      <c r="G604" t="inlineStr">
        <is>
          <t>1</t>
        </is>
      </c>
      <c r="H604" t="inlineStr">
        <is>
          <t>No</t>
        </is>
      </c>
      <c r="I604" t="inlineStr">
        <is>
          <t>No</t>
        </is>
      </c>
      <c r="J604" t="inlineStr">
        <is>
          <t>0</t>
        </is>
      </c>
      <c r="K604" t="inlineStr">
        <is>
          <t>Wolff, Diane.</t>
        </is>
      </c>
      <c r="L604" t="inlineStr">
        <is>
          <t>New York : Harper &amp; Row, [1974]</t>
        </is>
      </c>
      <c r="M604" t="inlineStr">
        <is>
          <t>1974</t>
        </is>
      </c>
      <c r="O604" t="inlineStr">
        <is>
          <t>eng</t>
        </is>
      </c>
      <c r="P604" t="inlineStr">
        <is>
          <t>nyu</t>
        </is>
      </c>
      <c r="Q604" t="inlineStr">
        <is>
          <t>Harper colophon books ; CN 331</t>
        </is>
      </c>
      <c r="R604" t="inlineStr">
        <is>
          <t xml:space="preserve">PL </t>
        </is>
      </c>
      <c r="S604" t="n">
        <v>29</v>
      </c>
      <c r="T604" t="n">
        <v>29</v>
      </c>
      <c r="U604" t="inlineStr">
        <is>
          <t>2009-07-01</t>
        </is>
      </c>
      <c r="V604" t="inlineStr">
        <is>
          <t>2009-07-01</t>
        </is>
      </c>
      <c r="W604" t="inlineStr">
        <is>
          <t>1996-12-20</t>
        </is>
      </c>
      <c r="X604" t="inlineStr">
        <is>
          <t>1996-12-20</t>
        </is>
      </c>
      <c r="Y604" t="n">
        <v>127</v>
      </c>
      <c r="Z604" t="n">
        <v>113</v>
      </c>
      <c r="AA604" t="n">
        <v>115</v>
      </c>
      <c r="AB604" t="n">
        <v>2</v>
      </c>
      <c r="AC604" t="n">
        <v>2</v>
      </c>
      <c r="AD604" t="n">
        <v>4</v>
      </c>
      <c r="AE604" t="n">
        <v>4</v>
      </c>
      <c r="AF604" t="n">
        <v>3</v>
      </c>
      <c r="AG604" t="n">
        <v>3</v>
      </c>
      <c r="AH604" t="n">
        <v>0</v>
      </c>
      <c r="AI604" t="n">
        <v>0</v>
      </c>
      <c r="AJ604" t="n">
        <v>2</v>
      </c>
      <c r="AK604" t="n">
        <v>2</v>
      </c>
      <c r="AL604" t="n">
        <v>1</v>
      </c>
      <c r="AM604" t="n">
        <v>1</v>
      </c>
      <c r="AN604" t="n">
        <v>0</v>
      </c>
      <c r="AO604" t="n">
        <v>0</v>
      </c>
      <c r="AP604" t="inlineStr">
        <is>
          <t>No</t>
        </is>
      </c>
      <c r="AQ604" t="inlineStr">
        <is>
          <t>No</t>
        </is>
      </c>
      <c r="AS604">
        <f>HYPERLINK("https://creighton-primo.hosted.exlibrisgroup.com/primo-explore/search?tab=default_tab&amp;search_scope=EVERYTHING&amp;vid=01CRU&amp;lang=en_US&amp;offset=0&amp;query=any,contains,991003434099702656","Catalog Record")</f>
        <v/>
      </c>
      <c r="AT604">
        <f>HYPERLINK("http://www.worldcat.org/oclc/969435","WorldCat Record")</f>
        <v/>
      </c>
      <c r="AU604" t="inlineStr">
        <is>
          <t>1926122:eng</t>
        </is>
      </c>
      <c r="AV604" t="inlineStr">
        <is>
          <t>969435</t>
        </is>
      </c>
      <c r="AW604" t="inlineStr">
        <is>
          <t>991003434099702656</t>
        </is>
      </c>
      <c r="AX604" t="inlineStr">
        <is>
          <t>991003434099702656</t>
        </is>
      </c>
      <c r="AY604" t="inlineStr">
        <is>
          <t>2260852790002656</t>
        </is>
      </c>
      <c r="AZ604" t="inlineStr">
        <is>
          <t>BOOK</t>
        </is>
      </c>
      <c r="BB604" t="inlineStr">
        <is>
          <t>9780060903312</t>
        </is>
      </c>
      <c r="BC604" t="inlineStr">
        <is>
          <t>32285002401924</t>
        </is>
      </c>
      <c r="BD604" t="inlineStr">
        <is>
          <t>893893715</t>
        </is>
      </c>
    </row>
    <row r="605">
      <c r="A605" t="inlineStr">
        <is>
          <t>No</t>
        </is>
      </c>
      <c r="B605" t="inlineStr">
        <is>
          <t>PL1111 .D36 1963</t>
        </is>
      </c>
      <c r="C605" t="inlineStr">
        <is>
          <t>0                      PL 1111000D  36          1963</t>
        </is>
      </c>
      <c r="D605" t="inlineStr">
        <is>
          <t>Beginning Chinese.</t>
        </is>
      </c>
      <c r="F605" t="inlineStr">
        <is>
          <t>No</t>
        </is>
      </c>
      <c r="G605" t="inlineStr">
        <is>
          <t>1</t>
        </is>
      </c>
      <c r="H605" t="inlineStr">
        <is>
          <t>No</t>
        </is>
      </c>
      <c r="I605" t="inlineStr">
        <is>
          <t>No</t>
        </is>
      </c>
      <c r="J605" t="inlineStr">
        <is>
          <t>0</t>
        </is>
      </c>
      <c r="K605" t="inlineStr">
        <is>
          <t>DeFrancis, John, 1911-2009.</t>
        </is>
      </c>
      <c r="L605" t="inlineStr">
        <is>
          <t>New Haven : Yale University Press, 1963.</t>
        </is>
      </c>
      <c r="M605" t="inlineStr">
        <is>
          <t>1963</t>
        </is>
      </c>
      <c r="N605" t="inlineStr">
        <is>
          <t>Rev. ed.</t>
        </is>
      </c>
      <c r="O605" t="inlineStr">
        <is>
          <t>eng</t>
        </is>
      </c>
      <c r="P605" t="inlineStr">
        <is>
          <t>ctu</t>
        </is>
      </c>
      <c r="R605" t="inlineStr">
        <is>
          <t xml:space="preserve">PL </t>
        </is>
      </c>
      <c r="S605" t="n">
        <v>8</v>
      </c>
      <c r="T605" t="n">
        <v>8</v>
      </c>
      <c r="U605" t="inlineStr">
        <is>
          <t>2005-05-05</t>
        </is>
      </c>
      <c r="V605" t="inlineStr">
        <is>
          <t>2005-05-05</t>
        </is>
      </c>
      <c r="W605" t="inlineStr">
        <is>
          <t>1993-12-08</t>
        </is>
      </c>
      <c r="X605" t="inlineStr">
        <is>
          <t>1993-12-08</t>
        </is>
      </c>
      <c r="Y605" t="n">
        <v>385</v>
      </c>
      <c r="Z605" t="n">
        <v>311</v>
      </c>
      <c r="AA605" t="n">
        <v>642</v>
      </c>
      <c r="AB605" t="n">
        <v>2</v>
      </c>
      <c r="AC605" t="n">
        <v>3</v>
      </c>
      <c r="AD605" t="n">
        <v>7</v>
      </c>
      <c r="AE605" t="n">
        <v>21</v>
      </c>
      <c r="AF605" t="n">
        <v>3</v>
      </c>
      <c r="AG605" t="n">
        <v>7</v>
      </c>
      <c r="AH605" t="n">
        <v>3</v>
      </c>
      <c r="AI605" t="n">
        <v>6</v>
      </c>
      <c r="AJ605" t="n">
        <v>2</v>
      </c>
      <c r="AK605" t="n">
        <v>12</v>
      </c>
      <c r="AL605" t="n">
        <v>1</v>
      </c>
      <c r="AM605" t="n">
        <v>2</v>
      </c>
      <c r="AN605" t="n">
        <v>0</v>
      </c>
      <c r="AO605" t="n">
        <v>0</v>
      </c>
      <c r="AP605" t="inlineStr">
        <is>
          <t>No</t>
        </is>
      </c>
      <c r="AQ605" t="inlineStr">
        <is>
          <t>Yes</t>
        </is>
      </c>
      <c r="AR605">
        <f>HYPERLINK("http://catalog.hathitrust.org/Record/001184997","HathiTrust Record")</f>
        <v/>
      </c>
      <c r="AS605">
        <f>HYPERLINK("https://creighton-primo.hosted.exlibrisgroup.com/primo-explore/search?tab=default_tab&amp;search_scope=EVERYTHING&amp;vid=01CRU&amp;lang=en_US&amp;offset=0&amp;query=any,contains,991002373839702656","Catalog Record")</f>
        <v/>
      </c>
      <c r="AT605">
        <f>HYPERLINK("http://www.worldcat.org/oclc/327198","WorldCat Record")</f>
        <v/>
      </c>
      <c r="AU605" t="inlineStr">
        <is>
          <t>4918304799:eng</t>
        </is>
      </c>
      <c r="AV605" t="inlineStr">
        <is>
          <t>327198</t>
        </is>
      </c>
      <c r="AW605" t="inlineStr">
        <is>
          <t>991002373839702656</t>
        </is>
      </c>
      <c r="AX605" t="inlineStr">
        <is>
          <t>991002373839702656</t>
        </is>
      </c>
      <c r="AY605" t="inlineStr">
        <is>
          <t>2272819870002656</t>
        </is>
      </c>
      <c r="AZ605" t="inlineStr">
        <is>
          <t>BOOK</t>
        </is>
      </c>
      <c r="BC605" t="inlineStr">
        <is>
          <t>32285001806636</t>
        </is>
      </c>
      <c r="BD605" t="inlineStr">
        <is>
          <t>893347427</t>
        </is>
      </c>
    </row>
    <row r="606">
      <c r="A606" t="inlineStr">
        <is>
          <t>No</t>
        </is>
      </c>
      <c r="B606" t="inlineStr">
        <is>
          <t>PL1111 .M25</t>
        </is>
      </c>
      <c r="C606" t="inlineStr">
        <is>
          <t>0                      PL 1111000M  25</t>
        </is>
      </c>
      <c r="D606" t="inlineStr">
        <is>
          <t>A course of Mandarin lessons; based on idiom.</t>
        </is>
      </c>
      <c r="F606" t="inlineStr">
        <is>
          <t>No</t>
        </is>
      </c>
      <c r="G606" t="inlineStr">
        <is>
          <t>1</t>
        </is>
      </c>
      <c r="H606" t="inlineStr">
        <is>
          <t>No</t>
        </is>
      </c>
      <c r="I606" t="inlineStr">
        <is>
          <t>No</t>
        </is>
      </c>
      <c r="J606" t="inlineStr">
        <is>
          <t>0</t>
        </is>
      </c>
      <c r="K606" t="inlineStr">
        <is>
          <t>Mateer, C. W. (Calvin Wilson), 1836-1908.</t>
        </is>
      </c>
      <c r="L606" t="inlineStr">
        <is>
          <t>Shanghai, American Presbyterian Mission Press, 1906.</t>
        </is>
      </c>
      <c r="M606" t="inlineStr">
        <is>
          <t>1906</t>
        </is>
      </c>
      <c r="N606" t="inlineStr">
        <is>
          <t>Rev. ed.</t>
        </is>
      </c>
      <c r="O606" t="inlineStr">
        <is>
          <t>eng</t>
        </is>
      </c>
      <c r="P606" t="inlineStr">
        <is>
          <t xml:space="preserve">cc </t>
        </is>
      </c>
      <c r="R606" t="inlineStr">
        <is>
          <t xml:space="preserve">PL </t>
        </is>
      </c>
      <c r="S606" t="n">
        <v>7</v>
      </c>
      <c r="T606" t="n">
        <v>7</v>
      </c>
      <c r="U606" t="inlineStr">
        <is>
          <t>2007-02-09</t>
        </is>
      </c>
      <c r="V606" t="inlineStr">
        <is>
          <t>2007-02-09</t>
        </is>
      </c>
      <c r="W606" t="inlineStr">
        <is>
          <t>1997-09-17</t>
        </is>
      </c>
      <c r="X606" t="inlineStr">
        <is>
          <t>1997-09-17</t>
        </is>
      </c>
      <c r="Y606" t="n">
        <v>21</v>
      </c>
      <c r="Z606" t="n">
        <v>18</v>
      </c>
      <c r="AA606" t="n">
        <v>70</v>
      </c>
      <c r="AB606" t="n">
        <v>1</v>
      </c>
      <c r="AC606" t="n">
        <v>1</v>
      </c>
      <c r="AD606" t="n">
        <v>2</v>
      </c>
      <c r="AE606" t="n">
        <v>3</v>
      </c>
      <c r="AF606" t="n">
        <v>0</v>
      </c>
      <c r="AG606" t="n">
        <v>0</v>
      </c>
      <c r="AH606" t="n">
        <v>2</v>
      </c>
      <c r="AI606" t="n">
        <v>3</v>
      </c>
      <c r="AJ606" t="n">
        <v>1</v>
      </c>
      <c r="AK606" t="n">
        <v>1</v>
      </c>
      <c r="AL606" t="n">
        <v>0</v>
      </c>
      <c r="AM606" t="n">
        <v>0</v>
      </c>
      <c r="AN606" t="n">
        <v>0</v>
      </c>
      <c r="AO606" t="n">
        <v>0</v>
      </c>
      <c r="AP606" t="inlineStr">
        <is>
          <t>Yes</t>
        </is>
      </c>
      <c r="AQ606" t="inlineStr">
        <is>
          <t>No</t>
        </is>
      </c>
      <c r="AR606">
        <f>HYPERLINK("http://catalog.hathitrust.org/Record/001245123","HathiTrust Record")</f>
        <v/>
      </c>
      <c r="AS606">
        <f>HYPERLINK("https://creighton-primo.hosted.exlibrisgroup.com/primo-explore/search?tab=default_tab&amp;search_scope=EVERYTHING&amp;vid=01CRU&amp;lang=en_US&amp;offset=0&amp;query=any,contains,991004037069702656","Catalog Record")</f>
        <v/>
      </c>
      <c r="AT606">
        <f>HYPERLINK("http://www.worldcat.org/oclc/2174733","WorldCat Record")</f>
        <v/>
      </c>
      <c r="AU606" t="inlineStr">
        <is>
          <t>4820630741:eng</t>
        </is>
      </c>
      <c r="AV606" t="inlineStr">
        <is>
          <t>2174733</t>
        </is>
      </c>
      <c r="AW606" t="inlineStr">
        <is>
          <t>991004037069702656</t>
        </is>
      </c>
      <c r="AX606" t="inlineStr">
        <is>
          <t>991004037069702656</t>
        </is>
      </c>
      <c r="AY606" t="inlineStr">
        <is>
          <t>2266384120002656</t>
        </is>
      </c>
      <c r="AZ606" t="inlineStr">
        <is>
          <t>BOOK</t>
        </is>
      </c>
      <c r="BC606" t="inlineStr">
        <is>
          <t>32285003224705</t>
        </is>
      </c>
      <c r="BD606" t="inlineStr">
        <is>
          <t>893234973</t>
        </is>
      </c>
    </row>
    <row r="607">
      <c r="A607" t="inlineStr">
        <is>
          <t>No</t>
        </is>
      </c>
      <c r="B607" t="inlineStr">
        <is>
          <t>PL1117.5.P45 Y82 2006</t>
        </is>
      </c>
      <c r="C607" t="inlineStr">
        <is>
          <t>0                      PL 1117500P  45                 Y  82          2006</t>
        </is>
      </c>
      <c r="D607" t="inlineStr">
        <is>
          <t>Classical Chinese : supplementary selections from philosophical texts : glossaries, analyses / Naiying Yuan, Haitao Tang, James Geiss.</t>
        </is>
      </c>
      <c r="F607" t="inlineStr">
        <is>
          <t>No</t>
        </is>
      </c>
      <c r="G607" t="inlineStr">
        <is>
          <t>1</t>
        </is>
      </c>
      <c r="H607" t="inlineStr">
        <is>
          <t>No</t>
        </is>
      </c>
      <c r="I607" t="inlineStr">
        <is>
          <t>No</t>
        </is>
      </c>
      <c r="J607" t="inlineStr">
        <is>
          <t>0</t>
        </is>
      </c>
      <c r="K607" t="inlineStr">
        <is>
          <t>Yuan, Naiying.</t>
        </is>
      </c>
      <c r="L607" t="inlineStr">
        <is>
          <t>Princeton, N.J. : Princeton University Press, c2006.</t>
        </is>
      </c>
      <c r="M607" t="inlineStr">
        <is>
          <t>2006</t>
        </is>
      </c>
      <c r="O607" t="inlineStr">
        <is>
          <t>chi</t>
        </is>
      </c>
      <c r="P607" t="inlineStr">
        <is>
          <t>nju</t>
        </is>
      </c>
      <c r="R607" t="inlineStr">
        <is>
          <t xml:space="preserve">PL </t>
        </is>
      </c>
      <c r="S607" t="n">
        <v>1</v>
      </c>
      <c r="T607" t="n">
        <v>1</v>
      </c>
      <c r="U607" t="inlineStr">
        <is>
          <t>2006-10-10</t>
        </is>
      </c>
      <c r="V607" t="inlineStr">
        <is>
          <t>2006-10-10</t>
        </is>
      </c>
      <c r="W607" t="inlineStr">
        <is>
          <t>2006-10-10</t>
        </is>
      </c>
      <c r="X607" t="inlineStr">
        <is>
          <t>2006-10-10</t>
        </is>
      </c>
      <c r="Y607" t="n">
        <v>72</v>
      </c>
      <c r="Z607" t="n">
        <v>47</v>
      </c>
      <c r="AA607" t="n">
        <v>278</v>
      </c>
      <c r="AB607" t="n">
        <v>1</v>
      </c>
      <c r="AC607" t="n">
        <v>1</v>
      </c>
      <c r="AD607" t="n">
        <v>3</v>
      </c>
      <c r="AE607" t="n">
        <v>17</v>
      </c>
      <c r="AF607" t="n">
        <v>1</v>
      </c>
      <c r="AG607" t="n">
        <v>8</v>
      </c>
      <c r="AH607" t="n">
        <v>0</v>
      </c>
      <c r="AI607" t="n">
        <v>5</v>
      </c>
      <c r="AJ607" t="n">
        <v>2</v>
      </c>
      <c r="AK607" t="n">
        <v>9</v>
      </c>
      <c r="AL607" t="n">
        <v>0</v>
      </c>
      <c r="AM607" t="n">
        <v>0</v>
      </c>
      <c r="AN607" t="n">
        <v>0</v>
      </c>
      <c r="AO607" t="n">
        <v>0</v>
      </c>
      <c r="AP607" t="inlineStr">
        <is>
          <t>No</t>
        </is>
      </c>
      <c r="AQ607" t="inlineStr">
        <is>
          <t>No</t>
        </is>
      </c>
      <c r="AS607">
        <f>HYPERLINK("https://creighton-primo.hosted.exlibrisgroup.com/primo-explore/search?tab=default_tab&amp;search_scope=EVERYTHING&amp;vid=01CRU&amp;lang=en_US&amp;offset=0&amp;query=any,contains,991004931879702656","Catalog Record")</f>
        <v/>
      </c>
      <c r="AT607">
        <f>HYPERLINK("http://www.worldcat.org/oclc/71225679","WorldCat Record")</f>
        <v/>
      </c>
      <c r="AU607" t="inlineStr">
        <is>
          <t>2864517389:chi</t>
        </is>
      </c>
      <c r="AV607" t="inlineStr">
        <is>
          <t>71225679</t>
        </is>
      </c>
      <c r="AW607" t="inlineStr">
        <is>
          <t>991004931879702656</t>
        </is>
      </c>
      <c r="AX607" t="inlineStr">
        <is>
          <t>991004931879702656</t>
        </is>
      </c>
      <c r="AY607" t="inlineStr">
        <is>
          <t>2268038330002656</t>
        </is>
      </c>
      <c r="AZ607" t="inlineStr">
        <is>
          <t>BOOK</t>
        </is>
      </c>
      <c r="BB607" t="inlineStr">
        <is>
          <t>9780691118338</t>
        </is>
      </c>
      <c r="BC607" t="inlineStr">
        <is>
          <t>32285005228894</t>
        </is>
      </c>
      <c r="BD607" t="inlineStr">
        <is>
          <t>893412095</t>
        </is>
      </c>
    </row>
    <row r="608">
      <c r="A608" t="inlineStr">
        <is>
          <t>No</t>
        </is>
      </c>
      <c r="B608" t="inlineStr">
        <is>
          <t>PL115 .L47 1999</t>
        </is>
      </c>
      <c r="C608" t="inlineStr">
        <is>
          <t>0                      PL 0115000L  47          1999</t>
        </is>
      </c>
      <c r="D608" t="inlineStr">
        <is>
          <t>The Turkish language reform : a catastrophic success / Geoffrey Lewis.</t>
        </is>
      </c>
      <c r="F608" t="inlineStr">
        <is>
          <t>No</t>
        </is>
      </c>
      <c r="G608" t="inlineStr">
        <is>
          <t>1</t>
        </is>
      </c>
      <c r="H608" t="inlineStr">
        <is>
          <t>No</t>
        </is>
      </c>
      <c r="I608" t="inlineStr">
        <is>
          <t>No</t>
        </is>
      </c>
      <c r="J608" t="inlineStr">
        <is>
          <t>0</t>
        </is>
      </c>
      <c r="K608" t="inlineStr">
        <is>
          <t>Lewis, Geoffrey, 1920-2008.</t>
        </is>
      </c>
      <c r="L608" t="inlineStr">
        <is>
          <t>Oxford ; New York : Oxford University Press, 1999.</t>
        </is>
      </c>
      <c r="M608" t="inlineStr">
        <is>
          <t>1999</t>
        </is>
      </c>
      <c r="O608" t="inlineStr">
        <is>
          <t>eng</t>
        </is>
      </c>
      <c r="P608" t="inlineStr">
        <is>
          <t>enk</t>
        </is>
      </c>
      <c r="R608" t="inlineStr">
        <is>
          <t xml:space="preserve">PL </t>
        </is>
      </c>
      <c r="S608" t="n">
        <v>1</v>
      </c>
      <c r="T608" t="n">
        <v>1</v>
      </c>
      <c r="U608" t="inlineStr">
        <is>
          <t>2006-04-03</t>
        </is>
      </c>
      <c r="V608" t="inlineStr">
        <is>
          <t>2006-04-03</t>
        </is>
      </c>
      <c r="W608" t="inlineStr">
        <is>
          <t>2001-01-08</t>
        </is>
      </c>
      <c r="X608" t="inlineStr">
        <is>
          <t>2001-01-08</t>
        </is>
      </c>
      <c r="Y608" t="n">
        <v>243</v>
      </c>
      <c r="Z608" t="n">
        <v>171</v>
      </c>
      <c r="AA608" t="n">
        <v>196</v>
      </c>
      <c r="AB608" t="n">
        <v>2</v>
      </c>
      <c r="AC608" t="n">
        <v>3</v>
      </c>
      <c r="AD608" t="n">
        <v>9</v>
      </c>
      <c r="AE608" t="n">
        <v>11</v>
      </c>
      <c r="AF608" t="n">
        <v>2</v>
      </c>
      <c r="AG608" t="n">
        <v>2</v>
      </c>
      <c r="AH608" t="n">
        <v>4</v>
      </c>
      <c r="AI608" t="n">
        <v>4</v>
      </c>
      <c r="AJ608" t="n">
        <v>5</v>
      </c>
      <c r="AK608" t="n">
        <v>6</v>
      </c>
      <c r="AL608" t="n">
        <v>1</v>
      </c>
      <c r="AM608" t="n">
        <v>2</v>
      </c>
      <c r="AN608" t="n">
        <v>0</v>
      </c>
      <c r="AO608" t="n">
        <v>0</v>
      </c>
      <c r="AP608" t="inlineStr">
        <is>
          <t>No</t>
        </is>
      </c>
      <c r="AQ608" t="inlineStr">
        <is>
          <t>No</t>
        </is>
      </c>
      <c r="AS608">
        <f>HYPERLINK("https://creighton-primo.hosted.exlibrisgroup.com/primo-explore/search?tab=default_tab&amp;search_scope=EVERYTHING&amp;vid=01CRU&amp;lang=en_US&amp;offset=0&amp;query=any,contains,991003324429702656","Catalog Record")</f>
        <v/>
      </c>
      <c r="AT608">
        <f>HYPERLINK("http://www.worldcat.org/oclc/41137543","WorldCat Record")</f>
        <v/>
      </c>
      <c r="AU608" t="inlineStr">
        <is>
          <t>836967298:eng</t>
        </is>
      </c>
      <c r="AV608" t="inlineStr">
        <is>
          <t>41137543</t>
        </is>
      </c>
      <c r="AW608" t="inlineStr">
        <is>
          <t>991003324429702656</t>
        </is>
      </c>
      <c r="AX608" t="inlineStr">
        <is>
          <t>991003324429702656</t>
        </is>
      </c>
      <c r="AY608" t="inlineStr">
        <is>
          <t>2265082490002656</t>
        </is>
      </c>
      <c r="AZ608" t="inlineStr">
        <is>
          <t>BOOK</t>
        </is>
      </c>
      <c r="BB608" t="inlineStr">
        <is>
          <t>9780198238560</t>
        </is>
      </c>
      <c r="BC608" t="inlineStr">
        <is>
          <t>32285004280375</t>
        </is>
      </c>
      <c r="BD608" t="inlineStr">
        <is>
          <t>893623377</t>
        </is>
      </c>
    </row>
    <row r="609">
      <c r="A609" t="inlineStr">
        <is>
          <t>No</t>
        </is>
      </c>
      <c r="B609" t="inlineStr">
        <is>
          <t>PL1171 .D4 1972</t>
        </is>
      </c>
      <c r="C609" t="inlineStr">
        <is>
          <t>0                      PL 1171000D  4           1972</t>
        </is>
      </c>
      <c r="D609" t="inlineStr">
        <is>
          <t>Nationalism and language reform in China, by John de Francis.</t>
        </is>
      </c>
      <c r="F609" t="inlineStr">
        <is>
          <t>No</t>
        </is>
      </c>
      <c r="G609" t="inlineStr">
        <is>
          <t>1</t>
        </is>
      </c>
      <c r="H609" t="inlineStr">
        <is>
          <t>No</t>
        </is>
      </c>
      <c r="I609" t="inlineStr">
        <is>
          <t>No</t>
        </is>
      </c>
      <c r="J609" t="inlineStr">
        <is>
          <t>0</t>
        </is>
      </c>
      <c r="K609" t="inlineStr">
        <is>
          <t>DeFrancis, John, 1911-2009.</t>
        </is>
      </c>
      <c r="L609" t="inlineStr">
        <is>
          <t>New York, Octagon Books, 1972 [c1950]</t>
        </is>
      </c>
      <c r="M609" t="inlineStr">
        <is>
          <t>1972</t>
        </is>
      </c>
      <c r="O609" t="inlineStr">
        <is>
          <t>eng</t>
        </is>
      </c>
      <c r="P609" t="inlineStr">
        <is>
          <t>nyu</t>
        </is>
      </c>
      <c r="R609" t="inlineStr">
        <is>
          <t xml:space="preserve">PL </t>
        </is>
      </c>
      <c r="S609" t="n">
        <v>3</v>
      </c>
      <c r="T609" t="n">
        <v>3</v>
      </c>
      <c r="U609" t="inlineStr">
        <is>
          <t>2002-01-11</t>
        </is>
      </c>
      <c r="V609" t="inlineStr">
        <is>
          <t>2002-01-11</t>
        </is>
      </c>
      <c r="W609" t="inlineStr">
        <is>
          <t>1997-09-17</t>
        </is>
      </c>
      <c r="X609" t="inlineStr">
        <is>
          <t>1997-09-17</t>
        </is>
      </c>
      <c r="Y609" t="n">
        <v>208</v>
      </c>
      <c r="Z609" t="n">
        <v>177</v>
      </c>
      <c r="AA609" t="n">
        <v>389</v>
      </c>
      <c r="AB609" t="n">
        <v>2</v>
      </c>
      <c r="AC609" t="n">
        <v>4</v>
      </c>
      <c r="AD609" t="n">
        <v>8</v>
      </c>
      <c r="AE609" t="n">
        <v>15</v>
      </c>
      <c r="AF609" t="n">
        <v>3</v>
      </c>
      <c r="AG609" t="n">
        <v>4</v>
      </c>
      <c r="AH609" t="n">
        <v>1</v>
      </c>
      <c r="AI609" t="n">
        <v>4</v>
      </c>
      <c r="AJ609" t="n">
        <v>5</v>
      </c>
      <c r="AK609" t="n">
        <v>9</v>
      </c>
      <c r="AL609" t="n">
        <v>1</v>
      </c>
      <c r="AM609" t="n">
        <v>3</v>
      </c>
      <c r="AN609" t="n">
        <v>0</v>
      </c>
      <c r="AO609" t="n">
        <v>0</v>
      </c>
      <c r="AP609" t="inlineStr">
        <is>
          <t>No</t>
        </is>
      </c>
      <c r="AQ609" t="inlineStr">
        <is>
          <t>Yes</t>
        </is>
      </c>
      <c r="AR609">
        <f>HYPERLINK("http://catalog.hathitrust.org/Record/009906188","HathiTrust Record")</f>
        <v/>
      </c>
      <c r="AS609">
        <f>HYPERLINK("https://creighton-primo.hosted.exlibrisgroup.com/primo-explore/search?tab=default_tab&amp;search_scope=EVERYTHING&amp;vid=01CRU&amp;lang=en_US&amp;offset=0&amp;query=any,contains,991002207839702656","Catalog Record")</f>
        <v/>
      </c>
      <c r="AT609">
        <f>HYPERLINK("http://www.worldcat.org/oclc/286815","WorldCat Record")</f>
        <v/>
      </c>
      <c r="AU609" t="inlineStr">
        <is>
          <t>179359043:eng</t>
        </is>
      </c>
      <c r="AV609" t="inlineStr">
        <is>
          <t>286815</t>
        </is>
      </c>
      <c r="AW609" t="inlineStr">
        <is>
          <t>991002207839702656</t>
        </is>
      </c>
      <c r="AX609" t="inlineStr">
        <is>
          <t>991002207839702656</t>
        </is>
      </c>
      <c r="AY609" t="inlineStr">
        <is>
          <t>2260872350002656</t>
        </is>
      </c>
      <c r="AZ609" t="inlineStr">
        <is>
          <t>BOOK</t>
        </is>
      </c>
      <c r="BB609" t="inlineStr">
        <is>
          <t>9780374920951</t>
        </is>
      </c>
      <c r="BC609" t="inlineStr">
        <is>
          <t>32285003224804</t>
        </is>
      </c>
      <c r="BD609" t="inlineStr">
        <is>
          <t>893591041</t>
        </is>
      </c>
    </row>
    <row r="610">
      <c r="A610" t="inlineStr">
        <is>
          <t>No</t>
        </is>
      </c>
      <c r="B610" t="inlineStr">
        <is>
          <t>PL1455 .J3 1967</t>
        </is>
      </c>
      <c r="C610" t="inlineStr">
        <is>
          <t>0                      PL 1455000J  3           1967</t>
        </is>
      </c>
      <c r="D610" t="inlineStr">
        <is>
          <t>A short dictionary of simplified Chinese characters / by E. W. Jameson, Jr.</t>
        </is>
      </c>
      <c r="F610" t="inlineStr">
        <is>
          <t>No</t>
        </is>
      </c>
      <c r="G610" t="inlineStr">
        <is>
          <t>1</t>
        </is>
      </c>
      <c r="H610" t="inlineStr">
        <is>
          <t>No</t>
        </is>
      </c>
      <c r="I610" t="inlineStr">
        <is>
          <t>No</t>
        </is>
      </c>
      <c r="J610" t="inlineStr">
        <is>
          <t>0</t>
        </is>
      </c>
      <c r="K610" t="inlineStr">
        <is>
          <t>Jameson, E. W. (Everett Williams), 1921-</t>
        </is>
      </c>
      <c r="M610" t="inlineStr">
        <is>
          <t>1967</t>
        </is>
      </c>
      <c r="N610" t="inlineStr">
        <is>
          <t>[2d ed. rev.</t>
        </is>
      </c>
      <c r="O610" t="inlineStr">
        <is>
          <t>eng</t>
        </is>
      </c>
      <c r="P610" t="inlineStr">
        <is>
          <t>cau</t>
        </is>
      </c>
      <c r="R610" t="inlineStr">
        <is>
          <t xml:space="preserve">PL </t>
        </is>
      </c>
      <c r="S610" t="n">
        <v>13</v>
      </c>
      <c r="T610" t="n">
        <v>13</v>
      </c>
      <c r="U610" t="inlineStr">
        <is>
          <t>2005-03-10</t>
        </is>
      </c>
      <c r="V610" t="inlineStr">
        <is>
          <t>2005-03-10</t>
        </is>
      </c>
      <c r="W610" t="inlineStr">
        <is>
          <t>1993-09-03</t>
        </is>
      </c>
      <c r="X610" t="inlineStr">
        <is>
          <t>1993-09-03</t>
        </is>
      </c>
      <c r="Y610" t="n">
        <v>82</v>
      </c>
      <c r="Z610" t="n">
        <v>78</v>
      </c>
      <c r="AA610" t="n">
        <v>156</v>
      </c>
      <c r="AB610" t="n">
        <v>2</v>
      </c>
      <c r="AC610" t="n">
        <v>2</v>
      </c>
      <c r="AD610" t="n">
        <v>3</v>
      </c>
      <c r="AE610" t="n">
        <v>6</v>
      </c>
      <c r="AF610" t="n">
        <v>1</v>
      </c>
      <c r="AG610" t="n">
        <v>1</v>
      </c>
      <c r="AH610" t="n">
        <v>0</v>
      </c>
      <c r="AI610" t="n">
        <v>1</v>
      </c>
      <c r="AJ610" t="n">
        <v>1</v>
      </c>
      <c r="AK610" t="n">
        <v>3</v>
      </c>
      <c r="AL610" t="n">
        <v>1</v>
      </c>
      <c r="AM610" t="n">
        <v>1</v>
      </c>
      <c r="AN610" t="n">
        <v>0</v>
      </c>
      <c r="AO610" t="n">
        <v>0</v>
      </c>
      <c r="AP610" t="inlineStr">
        <is>
          <t>No</t>
        </is>
      </c>
      <c r="AQ610" t="inlineStr">
        <is>
          <t>Yes</t>
        </is>
      </c>
      <c r="AR610">
        <f>HYPERLINK("http://catalog.hathitrust.org/Record/101861728","HathiTrust Record")</f>
        <v/>
      </c>
      <c r="AS610">
        <f>HYPERLINK("https://creighton-primo.hosted.exlibrisgroup.com/primo-explore/search?tab=default_tab&amp;search_scope=EVERYTHING&amp;vid=01CRU&amp;lang=en_US&amp;offset=0&amp;query=any,contains,991005439319702656","Catalog Record")</f>
        <v/>
      </c>
      <c r="AT610">
        <f>HYPERLINK("http://www.worldcat.org/oclc/6552","WorldCat Record")</f>
        <v/>
      </c>
      <c r="AU610" t="inlineStr">
        <is>
          <t>1129763:eng</t>
        </is>
      </c>
      <c r="AV610" t="inlineStr">
        <is>
          <t>6552</t>
        </is>
      </c>
      <c r="AW610" t="inlineStr">
        <is>
          <t>991005439319702656</t>
        </is>
      </c>
      <c r="AX610" t="inlineStr">
        <is>
          <t>991005439319702656</t>
        </is>
      </c>
      <c r="AY610" t="inlineStr">
        <is>
          <t>2265396820002656</t>
        </is>
      </c>
      <c r="AZ610" t="inlineStr">
        <is>
          <t>BOOK</t>
        </is>
      </c>
      <c r="BC610" t="inlineStr">
        <is>
          <t>32285001763175</t>
        </is>
      </c>
      <c r="BD610" t="inlineStr">
        <is>
          <t>893689208</t>
        </is>
      </c>
    </row>
    <row r="611">
      <c r="A611" t="inlineStr">
        <is>
          <t>No</t>
        </is>
      </c>
      <c r="B611" t="inlineStr">
        <is>
          <t>PL191 .R55 1984</t>
        </is>
      </c>
      <c r="C611" t="inlineStr">
        <is>
          <t>0                      PL 0191000R  55          1984</t>
        </is>
      </c>
      <c r="D611" t="inlineStr">
        <is>
          <t>Redhouse yeni Türkçe-İngilizce sözlük = New Redhouse Turkish-English dictionary.</t>
        </is>
      </c>
      <c r="F611" t="inlineStr">
        <is>
          <t>No</t>
        </is>
      </c>
      <c r="G611" t="inlineStr">
        <is>
          <t>1</t>
        </is>
      </c>
      <c r="H611" t="inlineStr">
        <is>
          <t>No</t>
        </is>
      </c>
      <c r="I611" t="inlineStr">
        <is>
          <t>No</t>
        </is>
      </c>
      <c r="J611" t="inlineStr">
        <is>
          <t>0</t>
        </is>
      </c>
      <c r="L611" t="inlineStr">
        <is>
          <t>İstanbul : Redhouse Yayınevi, 1984.</t>
        </is>
      </c>
      <c r="M611" t="inlineStr">
        <is>
          <t>1984</t>
        </is>
      </c>
      <c r="N611" t="inlineStr">
        <is>
          <t>7. baskı.</t>
        </is>
      </c>
      <c r="O611" t="inlineStr">
        <is>
          <t>eng</t>
        </is>
      </c>
      <c r="P611" t="inlineStr">
        <is>
          <t xml:space="preserve">tu </t>
        </is>
      </c>
      <c r="R611" t="inlineStr">
        <is>
          <t xml:space="preserve">PL </t>
        </is>
      </c>
      <c r="S611" t="n">
        <v>1</v>
      </c>
      <c r="T611" t="n">
        <v>1</v>
      </c>
      <c r="U611" t="inlineStr">
        <is>
          <t>2008-05-22</t>
        </is>
      </c>
      <c r="V611" t="inlineStr">
        <is>
          <t>2008-05-22</t>
        </is>
      </c>
      <c r="W611" t="inlineStr">
        <is>
          <t>2008-05-22</t>
        </is>
      </c>
      <c r="X611" t="inlineStr">
        <is>
          <t>2008-05-22</t>
        </is>
      </c>
      <c r="Y611" t="n">
        <v>16</v>
      </c>
      <c r="Z611" t="n">
        <v>12</v>
      </c>
      <c r="AA611" t="n">
        <v>12</v>
      </c>
      <c r="AB611" t="n">
        <v>1</v>
      </c>
      <c r="AC611" t="n">
        <v>1</v>
      </c>
      <c r="AD611" t="n">
        <v>2</v>
      </c>
      <c r="AE611" t="n">
        <v>2</v>
      </c>
      <c r="AF611" t="n">
        <v>1</v>
      </c>
      <c r="AG611" t="n">
        <v>1</v>
      </c>
      <c r="AH611" t="n">
        <v>1</v>
      </c>
      <c r="AI611" t="n">
        <v>1</v>
      </c>
      <c r="AJ611" t="n">
        <v>2</v>
      </c>
      <c r="AK611" t="n">
        <v>2</v>
      </c>
      <c r="AL611" t="n">
        <v>0</v>
      </c>
      <c r="AM611" t="n">
        <v>0</v>
      </c>
      <c r="AN611" t="n">
        <v>0</v>
      </c>
      <c r="AO611" t="n">
        <v>0</v>
      </c>
      <c r="AP611" t="inlineStr">
        <is>
          <t>No</t>
        </is>
      </c>
      <c r="AQ611" t="inlineStr">
        <is>
          <t>No</t>
        </is>
      </c>
      <c r="AS611">
        <f>HYPERLINK("https://creighton-primo.hosted.exlibrisgroup.com/primo-explore/search?tab=default_tab&amp;search_scope=EVERYTHING&amp;vid=01CRU&amp;lang=en_US&amp;offset=0&amp;query=any,contains,991005225759702656","Catalog Record")</f>
        <v/>
      </c>
      <c r="AT611">
        <f>HYPERLINK("http://www.worldcat.org/oclc/13889166","WorldCat Record")</f>
        <v/>
      </c>
      <c r="AU611" t="inlineStr">
        <is>
          <t>5608884306:eng</t>
        </is>
      </c>
      <c r="AV611" t="inlineStr">
        <is>
          <t>13889166</t>
        </is>
      </c>
      <c r="AW611" t="inlineStr">
        <is>
          <t>991005225759702656</t>
        </is>
      </c>
      <c r="AX611" t="inlineStr">
        <is>
          <t>991005225759702656</t>
        </is>
      </c>
      <c r="AY611" t="inlineStr">
        <is>
          <t>2260421430002656</t>
        </is>
      </c>
      <c r="AZ611" t="inlineStr">
        <is>
          <t>BOOK</t>
        </is>
      </c>
      <c r="BC611" t="inlineStr">
        <is>
          <t>32285005440424</t>
        </is>
      </c>
      <c r="BD611" t="inlineStr">
        <is>
          <t>893688799</t>
        </is>
      </c>
    </row>
    <row r="612">
      <c r="A612" t="inlineStr">
        <is>
          <t>No</t>
        </is>
      </c>
      <c r="B612" t="inlineStr">
        <is>
          <t>PL2265 .C45</t>
        </is>
      </c>
      <c r="C612" t="inlineStr">
        <is>
          <t>0                      PL 2265000C  45</t>
        </is>
      </c>
      <c r="D612" t="inlineStr">
        <is>
          <t>Chinese literature : a historical introduction.</t>
        </is>
      </c>
      <c r="F612" t="inlineStr">
        <is>
          <t>No</t>
        </is>
      </c>
      <c r="G612" t="inlineStr">
        <is>
          <t>1</t>
        </is>
      </c>
      <c r="H612" t="inlineStr">
        <is>
          <t>No</t>
        </is>
      </c>
      <c r="I612" t="inlineStr">
        <is>
          <t>No</t>
        </is>
      </c>
      <c r="J612" t="inlineStr">
        <is>
          <t>0</t>
        </is>
      </c>
      <c r="K612" t="inlineStr">
        <is>
          <t>Chʻen, Shou-yi, 1899-1977.</t>
        </is>
      </c>
      <c r="L612" t="inlineStr">
        <is>
          <t>New York : Ronald Press, [1961]</t>
        </is>
      </c>
      <c r="M612" t="inlineStr">
        <is>
          <t>1961</t>
        </is>
      </c>
      <c r="O612" t="inlineStr">
        <is>
          <t>eng</t>
        </is>
      </c>
      <c r="P612" t="inlineStr">
        <is>
          <t>nyu</t>
        </is>
      </c>
      <c r="R612" t="inlineStr">
        <is>
          <t xml:space="preserve">PL </t>
        </is>
      </c>
      <c r="S612" t="n">
        <v>20</v>
      </c>
      <c r="T612" t="n">
        <v>20</v>
      </c>
      <c r="U612" t="inlineStr">
        <is>
          <t>2007-10-23</t>
        </is>
      </c>
      <c r="V612" t="inlineStr">
        <is>
          <t>2007-10-23</t>
        </is>
      </c>
      <c r="W612" t="inlineStr">
        <is>
          <t>1993-12-13</t>
        </is>
      </c>
      <c r="X612" t="inlineStr">
        <is>
          <t>1993-12-13</t>
        </is>
      </c>
      <c r="Y612" t="n">
        <v>876</v>
      </c>
      <c r="Z612" t="n">
        <v>775</v>
      </c>
      <c r="AA612" t="n">
        <v>784</v>
      </c>
      <c r="AB612" t="n">
        <v>4</v>
      </c>
      <c r="AC612" t="n">
        <v>4</v>
      </c>
      <c r="AD612" t="n">
        <v>23</v>
      </c>
      <c r="AE612" t="n">
        <v>23</v>
      </c>
      <c r="AF612" t="n">
        <v>8</v>
      </c>
      <c r="AG612" t="n">
        <v>8</v>
      </c>
      <c r="AH612" t="n">
        <v>5</v>
      </c>
      <c r="AI612" t="n">
        <v>5</v>
      </c>
      <c r="AJ612" t="n">
        <v>13</v>
      </c>
      <c r="AK612" t="n">
        <v>13</v>
      </c>
      <c r="AL612" t="n">
        <v>2</v>
      </c>
      <c r="AM612" t="n">
        <v>2</v>
      </c>
      <c r="AN612" t="n">
        <v>0</v>
      </c>
      <c r="AO612" t="n">
        <v>0</v>
      </c>
      <c r="AP612" t="inlineStr">
        <is>
          <t>No</t>
        </is>
      </c>
      <c r="AQ612" t="inlineStr">
        <is>
          <t>No</t>
        </is>
      </c>
      <c r="AR612">
        <f>HYPERLINK("http://catalog.hathitrust.org/Record/001185094","HathiTrust Record")</f>
        <v/>
      </c>
      <c r="AS612">
        <f>HYPERLINK("https://creighton-primo.hosted.exlibrisgroup.com/primo-explore/search?tab=default_tab&amp;search_scope=EVERYTHING&amp;vid=01CRU&amp;lang=en_US&amp;offset=0&amp;query=any,contains,991005354279702656","Catalog Record")</f>
        <v/>
      </c>
      <c r="AT612">
        <f>HYPERLINK("http://www.worldcat.org/oclc/288383","WorldCat Record")</f>
        <v/>
      </c>
      <c r="AU612" t="inlineStr">
        <is>
          <t>350929489:eng</t>
        </is>
      </c>
      <c r="AV612" t="inlineStr">
        <is>
          <t>288383</t>
        </is>
      </c>
      <c r="AW612" t="inlineStr">
        <is>
          <t>991005354279702656</t>
        </is>
      </c>
      <c r="AX612" t="inlineStr">
        <is>
          <t>991005354279702656</t>
        </is>
      </c>
      <c r="AY612" t="inlineStr">
        <is>
          <t>2264088150002656</t>
        </is>
      </c>
      <c r="AZ612" t="inlineStr">
        <is>
          <t>BOOK</t>
        </is>
      </c>
      <c r="BC612" t="inlineStr">
        <is>
          <t>32285001808046</t>
        </is>
      </c>
      <c r="BD612" t="inlineStr">
        <is>
          <t>893345059</t>
        </is>
      </c>
    </row>
    <row r="613">
      <c r="A613" t="inlineStr">
        <is>
          <t>No</t>
        </is>
      </c>
      <c r="B613" t="inlineStr">
        <is>
          <t>PL2265 .L5</t>
        </is>
      </c>
      <c r="C613" t="inlineStr">
        <is>
          <t>0                      PL 2265000L  5</t>
        </is>
      </c>
      <c r="D613" t="inlineStr">
        <is>
          <t>An introduction to Chinese literature.</t>
        </is>
      </c>
      <c r="F613" t="inlineStr">
        <is>
          <t>No</t>
        </is>
      </c>
      <c r="G613" t="inlineStr">
        <is>
          <t>1</t>
        </is>
      </c>
      <c r="H613" t="inlineStr">
        <is>
          <t>No</t>
        </is>
      </c>
      <c r="I613" t="inlineStr">
        <is>
          <t>No</t>
        </is>
      </c>
      <c r="J613" t="inlineStr">
        <is>
          <t>0</t>
        </is>
      </c>
      <c r="K613" t="inlineStr">
        <is>
          <t>Liu, Wuji, 1907-2002.</t>
        </is>
      </c>
      <c r="L613" t="inlineStr">
        <is>
          <t>Bloomington, Indiana University Press, 1966.</t>
        </is>
      </c>
      <c r="M613" t="inlineStr">
        <is>
          <t>1966</t>
        </is>
      </c>
      <c r="O613" t="inlineStr">
        <is>
          <t>eng</t>
        </is>
      </c>
      <c r="P613" t="inlineStr">
        <is>
          <t>inu</t>
        </is>
      </c>
      <c r="R613" t="inlineStr">
        <is>
          <t xml:space="preserve">PL </t>
        </is>
      </c>
      <c r="S613" t="n">
        <v>5</v>
      </c>
      <c r="T613" t="n">
        <v>5</v>
      </c>
      <c r="U613" t="inlineStr">
        <is>
          <t>2001-03-25</t>
        </is>
      </c>
      <c r="V613" t="inlineStr">
        <is>
          <t>2001-03-25</t>
        </is>
      </c>
      <c r="W613" t="inlineStr">
        <is>
          <t>1998-01-23</t>
        </is>
      </c>
      <c r="X613" t="inlineStr">
        <is>
          <t>1998-01-23</t>
        </is>
      </c>
      <c r="Y613" t="n">
        <v>1198</v>
      </c>
      <c r="Z613" t="n">
        <v>1100</v>
      </c>
      <c r="AA613" t="n">
        <v>1180</v>
      </c>
      <c r="AB613" t="n">
        <v>8</v>
      </c>
      <c r="AC613" t="n">
        <v>8</v>
      </c>
      <c r="AD613" t="n">
        <v>37</v>
      </c>
      <c r="AE613" t="n">
        <v>41</v>
      </c>
      <c r="AF613" t="n">
        <v>17</v>
      </c>
      <c r="AG613" t="n">
        <v>18</v>
      </c>
      <c r="AH613" t="n">
        <v>9</v>
      </c>
      <c r="AI613" t="n">
        <v>9</v>
      </c>
      <c r="AJ613" t="n">
        <v>15</v>
      </c>
      <c r="AK613" t="n">
        <v>19</v>
      </c>
      <c r="AL613" t="n">
        <v>5</v>
      </c>
      <c r="AM613" t="n">
        <v>5</v>
      </c>
      <c r="AN613" t="n">
        <v>0</v>
      </c>
      <c r="AO613" t="n">
        <v>0</v>
      </c>
      <c r="AP613" t="inlineStr">
        <is>
          <t>No</t>
        </is>
      </c>
      <c r="AQ613" t="inlineStr">
        <is>
          <t>Yes</t>
        </is>
      </c>
      <c r="AR613">
        <f>HYPERLINK("http://catalog.hathitrust.org/Record/001185097","HathiTrust Record")</f>
        <v/>
      </c>
      <c r="AS613">
        <f>HYPERLINK("https://creighton-primo.hosted.exlibrisgroup.com/primo-explore/search?tab=default_tab&amp;search_scope=EVERYTHING&amp;vid=01CRU&amp;lang=en_US&amp;offset=0&amp;query=any,contains,991002270019702656","Catalog Record")</f>
        <v/>
      </c>
      <c r="AT613">
        <f>HYPERLINK("http://www.worldcat.org/oclc/307941","WorldCat Record")</f>
        <v/>
      </c>
      <c r="AU613" t="inlineStr">
        <is>
          <t>1362511:eng</t>
        </is>
      </c>
      <c r="AV613" t="inlineStr">
        <is>
          <t>307941</t>
        </is>
      </c>
      <c r="AW613" t="inlineStr">
        <is>
          <t>991002270019702656</t>
        </is>
      </c>
      <c r="AX613" t="inlineStr">
        <is>
          <t>991002270019702656</t>
        </is>
      </c>
      <c r="AY613" t="inlineStr">
        <is>
          <t>2264421890002656</t>
        </is>
      </c>
      <c r="AZ613" t="inlineStr">
        <is>
          <t>BOOK</t>
        </is>
      </c>
      <c r="BC613" t="inlineStr">
        <is>
          <t>32285003326971</t>
        </is>
      </c>
      <c r="BD613" t="inlineStr">
        <is>
          <t>893622092</t>
        </is>
      </c>
    </row>
    <row r="614">
      <c r="A614" t="inlineStr">
        <is>
          <t>No</t>
        </is>
      </c>
      <c r="B614" t="inlineStr">
        <is>
          <t>PL2280 .W3</t>
        </is>
      </c>
      <c r="C614" t="inlineStr">
        <is>
          <t>0                      PL 2280000W  3</t>
        </is>
      </c>
      <c r="D614" t="inlineStr">
        <is>
          <t>Early Chinese literature.</t>
        </is>
      </c>
      <c r="F614" t="inlineStr">
        <is>
          <t>No</t>
        </is>
      </c>
      <c r="G614" t="inlineStr">
        <is>
          <t>1</t>
        </is>
      </c>
      <c r="H614" t="inlineStr">
        <is>
          <t>No</t>
        </is>
      </c>
      <c r="I614" t="inlineStr">
        <is>
          <t>No</t>
        </is>
      </c>
      <c r="J614" t="inlineStr">
        <is>
          <t>0</t>
        </is>
      </c>
      <c r="K614" t="inlineStr">
        <is>
          <t>Watson, Burton, 1925-2017.</t>
        </is>
      </c>
      <c r="L614" t="inlineStr">
        <is>
          <t>New York, Columbia University Press, 1962.</t>
        </is>
      </c>
      <c r="M614" t="inlineStr">
        <is>
          <t>1962</t>
        </is>
      </c>
      <c r="O614" t="inlineStr">
        <is>
          <t>eng</t>
        </is>
      </c>
      <c r="P614" t="inlineStr">
        <is>
          <t>nyu</t>
        </is>
      </c>
      <c r="R614" t="inlineStr">
        <is>
          <t xml:space="preserve">PL </t>
        </is>
      </c>
      <c r="S614" t="n">
        <v>2</v>
      </c>
      <c r="T614" t="n">
        <v>2</v>
      </c>
      <c r="U614" t="inlineStr">
        <is>
          <t>2005-10-25</t>
        </is>
      </c>
      <c r="V614" t="inlineStr">
        <is>
          <t>2005-10-25</t>
        </is>
      </c>
      <c r="W614" t="inlineStr">
        <is>
          <t>1997-09-17</t>
        </is>
      </c>
      <c r="X614" t="inlineStr">
        <is>
          <t>1997-09-17</t>
        </is>
      </c>
      <c r="Y614" t="n">
        <v>1090</v>
      </c>
      <c r="Z614" t="n">
        <v>962</v>
      </c>
      <c r="AA614" t="n">
        <v>975</v>
      </c>
      <c r="AB614" t="n">
        <v>7</v>
      </c>
      <c r="AC614" t="n">
        <v>7</v>
      </c>
      <c r="AD614" t="n">
        <v>42</v>
      </c>
      <c r="AE614" t="n">
        <v>42</v>
      </c>
      <c r="AF614" t="n">
        <v>16</v>
      </c>
      <c r="AG614" t="n">
        <v>16</v>
      </c>
      <c r="AH614" t="n">
        <v>7</v>
      </c>
      <c r="AI614" t="n">
        <v>7</v>
      </c>
      <c r="AJ614" t="n">
        <v>21</v>
      </c>
      <c r="AK614" t="n">
        <v>21</v>
      </c>
      <c r="AL614" t="n">
        <v>6</v>
      </c>
      <c r="AM614" t="n">
        <v>6</v>
      </c>
      <c r="AN614" t="n">
        <v>0</v>
      </c>
      <c r="AO614" t="n">
        <v>0</v>
      </c>
      <c r="AP614" t="inlineStr">
        <is>
          <t>No</t>
        </is>
      </c>
      <c r="AQ614" t="inlineStr">
        <is>
          <t>No</t>
        </is>
      </c>
      <c r="AS614">
        <f>HYPERLINK("https://creighton-primo.hosted.exlibrisgroup.com/primo-explore/search?tab=default_tab&amp;search_scope=EVERYTHING&amp;vid=01CRU&amp;lang=en_US&amp;offset=0&amp;query=any,contains,991002427609702656","Catalog Record")</f>
        <v/>
      </c>
      <c r="AT614">
        <f>HYPERLINK("http://www.worldcat.org/oclc/345447","WorldCat Record")</f>
        <v/>
      </c>
      <c r="AU614" t="inlineStr">
        <is>
          <t>571625:eng</t>
        </is>
      </c>
      <c r="AV614" t="inlineStr">
        <is>
          <t>345447</t>
        </is>
      </c>
      <c r="AW614" t="inlineStr">
        <is>
          <t>991002427609702656</t>
        </is>
      </c>
      <c r="AX614" t="inlineStr">
        <is>
          <t>991002427609702656</t>
        </is>
      </c>
      <c r="AY614" t="inlineStr">
        <is>
          <t>2269713920002656</t>
        </is>
      </c>
      <c r="AZ614" t="inlineStr">
        <is>
          <t>BOOK</t>
        </is>
      </c>
      <c r="BC614" t="inlineStr">
        <is>
          <t>32285003224838</t>
        </is>
      </c>
      <c r="BD614" t="inlineStr">
        <is>
          <t>893873503</t>
        </is>
      </c>
    </row>
    <row r="615">
      <c r="A615" t="inlineStr">
        <is>
          <t>No</t>
        </is>
      </c>
      <c r="B615" t="inlineStr">
        <is>
          <t>PL2302 .P7</t>
        </is>
      </c>
      <c r="C615" t="inlineStr">
        <is>
          <t>0                      PL 2302000P  7</t>
        </is>
      </c>
      <c r="D615" t="inlineStr">
        <is>
          <t>The lyrical and the epic : studies of modern Chinese literature / by Jaroslav Průšek ; edited by Leo Ou-fan Lee.</t>
        </is>
      </c>
      <c r="F615" t="inlineStr">
        <is>
          <t>No</t>
        </is>
      </c>
      <c r="G615" t="inlineStr">
        <is>
          <t>1</t>
        </is>
      </c>
      <c r="H615" t="inlineStr">
        <is>
          <t>No</t>
        </is>
      </c>
      <c r="I615" t="inlineStr">
        <is>
          <t>No</t>
        </is>
      </c>
      <c r="J615" t="inlineStr">
        <is>
          <t>0</t>
        </is>
      </c>
      <c r="K615" t="inlineStr">
        <is>
          <t>Průšek, Jaroslav.</t>
        </is>
      </c>
      <c r="L615" t="inlineStr">
        <is>
          <t>Bloomington : Indiana University Press, c1980.</t>
        </is>
      </c>
      <c r="M615" t="inlineStr">
        <is>
          <t>1980</t>
        </is>
      </c>
      <c r="O615" t="inlineStr">
        <is>
          <t>eng</t>
        </is>
      </c>
      <c r="P615" t="inlineStr">
        <is>
          <t>inu</t>
        </is>
      </c>
      <c r="Q615" t="inlineStr">
        <is>
          <t>Studies in Chinese literature and society</t>
        </is>
      </c>
      <c r="R615" t="inlineStr">
        <is>
          <t xml:space="preserve">PL </t>
        </is>
      </c>
      <c r="S615" t="n">
        <v>4</v>
      </c>
      <c r="T615" t="n">
        <v>4</v>
      </c>
      <c r="U615" t="inlineStr">
        <is>
          <t>1995-10-05</t>
        </is>
      </c>
      <c r="V615" t="inlineStr">
        <is>
          <t>1995-10-05</t>
        </is>
      </c>
      <c r="W615" t="inlineStr">
        <is>
          <t>1993-05-05</t>
        </is>
      </c>
      <c r="X615" t="inlineStr">
        <is>
          <t>1993-05-05</t>
        </is>
      </c>
      <c r="Y615" t="n">
        <v>462</v>
      </c>
      <c r="Z615" t="n">
        <v>383</v>
      </c>
      <c r="AA615" t="n">
        <v>385</v>
      </c>
      <c r="AB615" t="n">
        <v>3</v>
      </c>
      <c r="AC615" t="n">
        <v>3</v>
      </c>
      <c r="AD615" t="n">
        <v>15</v>
      </c>
      <c r="AE615" t="n">
        <v>15</v>
      </c>
      <c r="AF615" t="n">
        <v>4</v>
      </c>
      <c r="AG615" t="n">
        <v>4</v>
      </c>
      <c r="AH615" t="n">
        <v>6</v>
      </c>
      <c r="AI615" t="n">
        <v>6</v>
      </c>
      <c r="AJ615" t="n">
        <v>7</v>
      </c>
      <c r="AK615" t="n">
        <v>7</v>
      </c>
      <c r="AL615" t="n">
        <v>2</v>
      </c>
      <c r="AM615" t="n">
        <v>2</v>
      </c>
      <c r="AN615" t="n">
        <v>0</v>
      </c>
      <c r="AO615" t="n">
        <v>0</v>
      </c>
      <c r="AP615" t="inlineStr">
        <is>
          <t>No</t>
        </is>
      </c>
      <c r="AQ615" t="inlineStr">
        <is>
          <t>Yes</t>
        </is>
      </c>
      <c r="AR615">
        <f>HYPERLINK("http://catalog.hathitrust.org/Record/000083743","HathiTrust Record")</f>
        <v/>
      </c>
      <c r="AS615">
        <f>HYPERLINK("https://creighton-primo.hosted.exlibrisgroup.com/primo-explore/search?tab=default_tab&amp;search_scope=EVERYTHING&amp;vid=01CRU&amp;lang=en_US&amp;offset=0&amp;query=any,contains,991004956889702656","Catalog Record")</f>
        <v/>
      </c>
      <c r="AT615">
        <f>HYPERLINK("http://www.worldcat.org/oclc/6280589","WorldCat Record")</f>
        <v/>
      </c>
      <c r="AU615" t="inlineStr">
        <is>
          <t>365986107:eng</t>
        </is>
      </c>
      <c r="AV615" t="inlineStr">
        <is>
          <t>6280589</t>
        </is>
      </c>
      <c r="AW615" t="inlineStr">
        <is>
          <t>991004956889702656</t>
        </is>
      </c>
      <c r="AX615" t="inlineStr">
        <is>
          <t>991004956889702656</t>
        </is>
      </c>
      <c r="AY615" t="inlineStr">
        <is>
          <t>2255942640002656</t>
        </is>
      </c>
      <c r="AZ615" t="inlineStr">
        <is>
          <t>BOOK</t>
        </is>
      </c>
      <c r="BB615" t="inlineStr">
        <is>
          <t>9780253102836</t>
        </is>
      </c>
      <c r="BC615" t="inlineStr">
        <is>
          <t>32285001672301</t>
        </is>
      </c>
      <c r="BD615" t="inlineStr">
        <is>
          <t>893810766</t>
        </is>
      </c>
    </row>
    <row r="616">
      <c r="A616" t="inlineStr">
        <is>
          <t>No</t>
        </is>
      </c>
      <c r="B616" t="inlineStr">
        <is>
          <t>PL2302 .T53 1970</t>
        </is>
      </c>
      <c r="C616" t="inlineStr">
        <is>
          <t>0                      PL 2302000T  53          1970</t>
        </is>
      </c>
      <c r="D616" t="inlineStr">
        <is>
          <t>A short history of modern Chinese literature / Ting Yi.</t>
        </is>
      </c>
      <c r="F616" t="inlineStr">
        <is>
          <t>No</t>
        </is>
      </c>
      <c r="G616" t="inlineStr">
        <is>
          <t>1</t>
        </is>
      </c>
      <c r="H616" t="inlineStr">
        <is>
          <t>No</t>
        </is>
      </c>
      <c r="I616" t="inlineStr">
        <is>
          <t>No</t>
        </is>
      </c>
      <c r="J616" t="inlineStr">
        <is>
          <t>0</t>
        </is>
      </c>
      <c r="K616" t="inlineStr">
        <is>
          <t>Ding, Yi, -1954.</t>
        </is>
      </c>
      <c r="L616" t="inlineStr">
        <is>
          <t>Port Washington, N.Y. : Kennikat Press, [1970]</t>
        </is>
      </c>
      <c r="M616" t="inlineStr">
        <is>
          <t>1970</t>
        </is>
      </c>
      <c r="O616" t="inlineStr">
        <is>
          <t>eng</t>
        </is>
      </c>
      <c r="P616" t="inlineStr">
        <is>
          <t>nyu</t>
        </is>
      </c>
      <c r="R616" t="inlineStr">
        <is>
          <t xml:space="preserve">PL </t>
        </is>
      </c>
      <c r="S616" t="n">
        <v>8</v>
      </c>
      <c r="T616" t="n">
        <v>8</v>
      </c>
      <c r="U616" t="inlineStr">
        <is>
          <t>2007-04-12</t>
        </is>
      </c>
      <c r="V616" t="inlineStr">
        <is>
          <t>2007-04-12</t>
        </is>
      </c>
      <c r="W616" t="inlineStr">
        <is>
          <t>1997-09-17</t>
        </is>
      </c>
      <c r="X616" t="inlineStr">
        <is>
          <t>1997-09-17</t>
        </is>
      </c>
      <c r="Y616" t="n">
        <v>217</v>
      </c>
      <c r="Z616" t="n">
        <v>172</v>
      </c>
      <c r="AA616" t="n">
        <v>188</v>
      </c>
      <c r="AB616" t="n">
        <v>3</v>
      </c>
      <c r="AC616" t="n">
        <v>3</v>
      </c>
      <c r="AD616" t="n">
        <v>7</v>
      </c>
      <c r="AE616" t="n">
        <v>8</v>
      </c>
      <c r="AF616" t="n">
        <v>2</v>
      </c>
      <c r="AG616" t="n">
        <v>3</v>
      </c>
      <c r="AH616" t="n">
        <v>1</v>
      </c>
      <c r="AI616" t="n">
        <v>2</v>
      </c>
      <c r="AJ616" t="n">
        <v>4</v>
      </c>
      <c r="AK616" t="n">
        <v>4</v>
      </c>
      <c r="AL616" t="n">
        <v>2</v>
      </c>
      <c r="AM616" t="n">
        <v>2</v>
      </c>
      <c r="AN616" t="n">
        <v>0</v>
      </c>
      <c r="AO616" t="n">
        <v>0</v>
      </c>
      <c r="AP616" t="inlineStr">
        <is>
          <t>No</t>
        </is>
      </c>
      <c r="AQ616" t="inlineStr">
        <is>
          <t>No</t>
        </is>
      </c>
      <c r="AS616">
        <f>HYPERLINK("https://creighton-primo.hosted.exlibrisgroup.com/primo-explore/search?tab=default_tab&amp;search_scope=EVERYTHING&amp;vid=01CRU&amp;lang=en_US&amp;offset=0&amp;query=any,contains,991000146629702656","Catalog Record")</f>
        <v/>
      </c>
      <c r="AT616">
        <f>HYPERLINK("http://www.worldcat.org/oclc/58978","WorldCat Record")</f>
        <v/>
      </c>
      <c r="AU616" t="inlineStr">
        <is>
          <t>1198094:eng</t>
        </is>
      </c>
      <c r="AV616" t="inlineStr">
        <is>
          <t>58978</t>
        </is>
      </c>
      <c r="AW616" t="inlineStr">
        <is>
          <t>991000146629702656</t>
        </is>
      </c>
      <c r="AX616" t="inlineStr">
        <is>
          <t>991000146629702656</t>
        </is>
      </c>
      <c r="AY616" t="inlineStr">
        <is>
          <t>2260148870002656</t>
        </is>
      </c>
      <c r="AZ616" t="inlineStr">
        <is>
          <t>BOOK</t>
        </is>
      </c>
      <c r="BB616" t="inlineStr">
        <is>
          <t>9780804608725</t>
        </is>
      </c>
      <c r="BC616" t="inlineStr">
        <is>
          <t>32285003224853</t>
        </is>
      </c>
      <c r="BD616" t="inlineStr">
        <is>
          <t>893508555</t>
        </is>
      </c>
    </row>
    <row r="617">
      <c r="A617" t="inlineStr">
        <is>
          <t>No</t>
        </is>
      </c>
      <c r="B617" t="inlineStr">
        <is>
          <t>PL2303 .M43 1997</t>
        </is>
      </c>
      <c r="C617" t="inlineStr">
        <is>
          <t>0                      PL 2303000M  43          1997</t>
        </is>
      </c>
      <c r="D617" t="inlineStr">
        <is>
          <t>The literature of China in the twentieth century / Bonnie S. McDougall, Kam Louie = [Erh shih shih chi Chung-kuo wen hsüeh / Tu Po-ni, Lei Chin-Chʻing chu].</t>
        </is>
      </c>
      <c r="F617" t="inlineStr">
        <is>
          <t>No</t>
        </is>
      </c>
      <c r="G617" t="inlineStr">
        <is>
          <t>1</t>
        </is>
      </c>
      <c r="H617" t="inlineStr">
        <is>
          <t>No</t>
        </is>
      </c>
      <c r="I617" t="inlineStr">
        <is>
          <t>No</t>
        </is>
      </c>
      <c r="J617" t="inlineStr">
        <is>
          <t>0</t>
        </is>
      </c>
      <c r="K617" t="inlineStr">
        <is>
          <t>McDougall, Bonnie S., 1941-</t>
        </is>
      </c>
      <c r="L617" t="inlineStr">
        <is>
          <t>New York : Columbia University Press, c1997.</t>
        </is>
      </c>
      <c r="M617" t="inlineStr">
        <is>
          <t>1997</t>
        </is>
      </c>
      <c r="O617" t="inlineStr">
        <is>
          <t>eng</t>
        </is>
      </c>
      <c r="P617" t="inlineStr">
        <is>
          <t>nyu</t>
        </is>
      </c>
      <c r="R617" t="inlineStr">
        <is>
          <t xml:space="preserve">PL </t>
        </is>
      </c>
      <c r="S617" t="n">
        <v>10</v>
      </c>
      <c r="T617" t="n">
        <v>10</v>
      </c>
      <c r="U617" t="inlineStr">
        <is>
          <t>2007-04-12</t>
        </is>
      </c>
      <c r="V617" t="inlineStr">
        <is>
          <t>2007-04-12</t>
        </is>
      </c>
      <c r="W617" t="inlineStr">
        <is>
          <t>1999-05-10</t>
        </is>
      </c>
      <c r="X617" t="inlineStr">
        <is>
          <t>1999-05-10</t>
        </is>
      </c>
      <c r="Y617" t="n">
        <v>675</v>
      </c>
      <c r="Z617" t="n">
        <v>616</v>
      </c>
      <c r="AA617" t="n">
        <v>620</v>
      </c>
      <c r="AB617" t="n">
        <v>7</v>
      </c>
      <c r="AC617" t="n">
        <v>7</v>
      </c>
      <c r="AD617" t="n">
        <v>32</v>
      </c>
      <c r="AE617" t="n">
        <v>32</v>
      </c>
      <c r="AF617" t="n">
        <v>13</v>
      </c>
      <c r="AG617" t="n">
        <v>13</v>
      </c>
      <c r="AH617" t="n">
        <v>7</v>
      </c>
      <c r="AI617" t="n">
        <v>7</v>
      </c>
      <c r="AJ617" t="n">
        <v>14</v>
      </c>
      <c r="AK617" t="n">
        <v>14</v>
      </c>
      <c r="AL617" t="n">
        <v>5</v>
      </c>
      <c r="AM617" t="n">
        <v>5</v>
      </c>
      <c r="AN617" t="n">
        <v>0</v>
      </c>
      <c r="AO617" t="n">
        <v>0</v>
      </c>
      <c r="AP617" t="inlineStr">
        <is>
          <t>No</t>
        </is>
      </c>
      <c r="AQ617" t="inlineStr">
        <is>
          <t>No</t>
        </is>
      </c>
      <c r="AS617">
        <f>HYPERLINK("https://creighton-primo.hosted.exlibrisgroup.com/primo-explore/search?tab=default_tab&amp;search_scope=EVERYTHING&amp;vid=01CRU&amp;lang=en_US&amp;offset=0&amp;query=any,contains,991002806019702656","Catalog Record")</f>
        <v/>
      </c>
      <c r="AT617">
        <f>HYPERLINK("http://www.worldcat.org/oclc/36865422","WorldCat Record")</f>
        <v/>
      </c>
      <c r="AU617" t="inlineStr">
        <is>
          <t>5612561762:eng</t>
        </is>
      </c>
      <c r="AV617" t="inlineStr">
        <is>
          <t>36865422</t>
        </is>
      </c>
      <c r="AW617" t="inlineStr">
        <is>
          <t>991002806019702656</t>
        </is>
      </c>
      <c r="AX617" t="inlineStr">
        <is>
          <t>991002806019702656</t>
        </is>
      </c>
      <c r="AY617" t="inlineStr">
        <is>
          <t>2262279090002656</t>
        </is>
      </c>
      <c r="AZ617" t="inlineStr">
        <is>
          <t>BOOK</t>
        </is>
      </c>
      <c r="BB617" t="inlineStr">
        <is>
          <t>9780231110846</t>
        </is>
      </c>
      <c r="BC617" t="inlineStr">
        <is>
          <t>32285003559738</t>
        </is>
      </c>
      <c r="BD617" t="inlineStr">
        <is>
          <t>893335744</t>
        </is>
      </c>
    </row>
    <row r="618">
      <c r="A618" t="inlineStr">
        <is>
          <t>No</t>
        </is>
      </c>
      <c r="B618" t="inlineStr">
        <is>
          <t>PL2308.5.N3 Y8 1987</t>
        </is>
      </c>
      <c r="C618" t="inlineStr">
        <is>
          <t>0                      PL 2308500N  3                  Y  8           1987</t>
        </is>
      </c>
      <c r="D618" t="inlineStr">
        <is>
          <t>The reading of imagery in the Chinese poetic tradition / Pauline Yu.</t>
        </is>
      </c>
      <c r="F618" t="inlineStr">
        <is>
          <t>No</t>
        </is>
      </c>
      <c r="G618" t="inlineStr">
        <is>
          <t>1</t>
        </is>
      </c>
      <c r="H618" t="inlineStr">
        <is>
          <t>No</t>
        </is>
      </c>
      <c r="I618" t="inlineStr">
        <is>
          <t>No</t>
        </is>
      </c>
      <c r="J618" t="inlineStr">
        <is>
          <t>0</t>
        </is>
      </c>
      <c r="K618" t="inlineStr">
        <is>
          <t>Yu, Pauline, 1949-</t>
        </is>
      </c>
      <c r="L618" t="inlineStr">
        <is>
          <t>Princeton, N.J. : Princeton University Press, c1987.</t>
        </is>
      </c>
      <c r="M618" t="inlineStr">
        <is>
          <t>1987</t>
        </is>
      </c>
      <c r="O618" t="inlineStr">
        <is>
          <t>eng</t>
        </is>
      </c>
      <c r="P618" t="inlineStr">
        <is>
          <t>nju</t>
        </is>
      </c>
      <c r="R618" t="inlineStr">
        <is>
          <t xml:space="preserve">PL </t>
        </is>
      </c>
      <c r="S618" t="n">
        <v>12</v>
      </c>
      <c r="T618" t="n">
        <v>12</v>
      </c>
      <c r="U618" t="inlineStr">
        <is>
          <t>2003-06-24</t>
        </is>
      </c>
      <c r="V618" t="inlineStr">
        <is>
          <t>2003-06-24</t>
        </is>
      </c>
      <c r="W618" t="inlineStr">
        <is>
          <t>1997-04-21</t>
        </is>
      </c>
      <c r="X618" t="inlineStr">
        <is>
          <t>1997-04-21</t>
        </is>
      </c>
      <c r="Y618" t="n">
        <v>328</v>
      </c>
      <c r="Z618" t="n">
        <v>271</v>
      </c>
      <c r="AA618" t="n">
        <v>274</v>
      </c>
      <c r="AB618" t="n">
        <v>2</v>
      </c>
      <c r="AC618" t="n">
        <v>2</v>
      </c>
      <c r="AD618" t="n">
        <v>10</v>
      </c>
      <c r="AE618" t="n">
        <v>10</v>
      </c>
      <c r="AF618" t="n">
        <v>4</v>
      </c>
      <c r="AG618" t="n">
        <v>4</v>
      </c>
      <c r="AH618" t="n">
        <v>1</v>
      </c>
      <c r="AI618" t="n">
        <v>1</v>
      </c>
      <c r="AJ618" t="n">
        <v>5</v>
      </c>
      <c r="AK618" t="n">
        <v>5</v>
      </c>
      <c r="AL618" t="n">
        <v>1</v>
      </c>
      <c r="AM618" t="n">
        <v>1</v>
      </c>
      <c r="AN618" t="n">
        <v>0</v>
      </c>
      <c r="AO618" t="n">
        <v>0</v>
      </c>
      <c r="AP618" t="inlineStr">
        <is>
          <t>No</t>
        </is>
      </c>
      <c r="AQ618" t="inlineStr">
        <is>
          <t>No</t>
        </is>
      </c>
      <c r="AS618">
        <f>HYPERLINK("https://creighton-primo.hosted.exlibrisgroup.com/primo-explore/search?tab=default_tab&amp;search_scope=EVERYTHING&amp;vid=01CRU&amp;lang=en_US&amp;offset=0&amp;query=any,contains,991000987749702656","Catalog Record")</f>
        <v/>
      </c>
      <c r="AT618">
        <f>HYPERLINK("http://www.worldcat.org/oclc/15083824","WorldCat Record")</f>
        <v/>
      </c>
      <c r="AU618" t="inlineStr">
        <is>
          <t>9067148:eng</t>
        </is>
      </c>
      <c r="AV618" t="inlineStr">
        <is>
          <t>15083824</t>
        </is>
      </c>
      <c r="AW618" t="inlineStr">
        <is>
          <t>991000987749702656</t>
        </is>
      </c>
      <c r="AX618" t="inlineStr">
        <is>
          <t>991000987749702656</t>
        </is>
      </c>
      <c r="AY618" t="inlineStr">
        <is>
          <t>2257805230002656</t>
        </is>
      </c>
      <c r="AZ618" t="inlineStr">
        <is>
          <t>BOOK</t>
        </is>
      </c>
      <c r="BB618" t="inlineStr">
        <is>
          <t>9780691066820</t>
        </is>
      </c>
      <c r="BC618" t="inlineStr">
        <is>
          <t>32285002498920</t>
        </is>
      </c>
      <c r="BD618" t="inlineStr">
        <is>
          <t>893683924</t>
        </is>
      </c>
    </row>
    <row r="619">
      <c r="A619" t="inlineStr">
        <is>
          <t>No</t>
        </is>
      </c>
      <c r="B619" t="inlineStr">
        <is>
          <t>PL2333 .O95 1993</t>
        </is>
      </c>
      <c r="C619" t="inlineStr">
        <is>
          <t>0                      PL 2333000O  95          1993</t>
        </is>
      </c>
      <c r="D619" t="inlineStr">
        <is>
          <t>Out of the howling storm : the new Chinese poetry : poems by Bei Dao ... [et al.] / edited by Tony Barnstone.</t>
        </is>
      </c>
      <c r="F619" t="inlineStr">
        <is>
          <t>No</t>
        </is>
      </c>
      <c r="G619" t="inlineStr">
        <is>
          <t>1</t>
        </is>
      </c>
      <c r="H619" t="inlineStr">
        <is>
          <t>No</t>
        </is>
      </c>
      <c r="I619" t="inlineStr">
        <is>
          <t>No</t>
        </is>
      </c>
      <c r="J619" t="inlineStr">
        <is>
          <t>0</t>
        </is>
      </c>
      <c r="L619" t="inlineStr">
        <is>
          <t>[Middletown, Conn.] : Wesleyan University Press ; Hanover : University Press of New England, c1993.</t>
        </is>
      </c>
      <c r="M619" t="inlineStr">
        <is>
          <t>1993</t>
        </is>
      </c>
      <c r="O619" t="inlineStr">
        <is>
          <t>eng</t>
        </is>
      </c>
      <c r="P619" t="inlineStr">
        <is>
          <t>ctu</t>
        </is>
      </c>
      <c r="R619" t="inlineStr">
        <is>
          <t xml:space="preserve">PL </t>
        </is>
      </c>
      <c r="S619" t="n">
        <v>1</v>
      </c>
      <c r="T619" t="n">
        <v>1</v>
      </c>
      <c r="U619" t="inlineStr">
        <is>
          <t>2004-10-11</t>
        </is>
      </c>
      <c r="V619" t="inlineStr">
        <is>
          <t>2004-10-11</t>
        </is>
      </c>
      <c r="W619" t="inlineStr">
        <is>
          <t>2004-10-11</t>
        </is>
      </c>
      <c r="X619" t="inlineStr">
        <is>
          <t>2004-10-11</t>
        </is>
      </c>
      <c r="Y619" t="n">
        <v>408</v>
      </c>
      <c r="Z619" t="n">
        <v>367</v>
      </c>
      <c r="AA619" t="n">
        <v>369</v>
      </c>
      <c r="AB619" t="n">
        <v>1</v>
      </c>
      <c r="AC619" t="n">
        <v>1</v>
      </c>
      <c r="AD619" t="n">
        <v>14</v>
      </c>
      <c r="AE619" t="n">
        <v>14</v>
      </c>
      <c r="AF619" t="n">
        <v>3</v>
      </c>
      <c r="AG619" t="n">
        <v>3</v>
      </c>
      <c r="AH619" t="n">
        <v>4</v>
      </c>
      <c r="AI619" t="n">
        <v>4</v>
      </c>
      <c r="AJ619" t="n">
        <v>10</v>
      </c>
      <c r="AK619" t="n">
        <v>10</v>
      </c>
      <c r="AL619" t="n">
        <v>0</v>
      </c>
      <c r="AM619" t="n">
        <v>0</v>
      </c>
      <c r="AN619" t="n">
        <v>0</v>
      </c>
      <c r="AO619" t="n">
        <v>0</v>
      </c>
      <c r="AP619" t="inlineStr">
        <is>
          <t>No</t>
        </is>
      </c>
      <c r="AQ619" t="inlineStr">
        <is>
          <t>No</t>
        </is>
      </c>
      <c r="AS619">
        <f>HYPERLINK("https://creighton-primo.hosted.exlibrisgroup.com/primo-explore/search?tab=default_tab&amp;search_scope=EVERYTHING&amp;vid=01CRU&amp;lang=en_US&amp;offset=0&amp;query=any,contains,991004387109702656","Catalog Record")</f>
        <v/>
      </c>
      <c r="AT619">
        <f>HYPERLINK("http://www.worldcat.org/oclc/27186182","WorldCat Record")</f>
        <v/>
      </c>
      <c r="AU619" t="inlineStr">
        <is>
          <t>143851339:eng</t>
        </is>
      </c>
      <c r="AV619" t="inlineStr">
        <is>
          <t>27186182</t>
        </is>
      </c>
      <c r="AW619" t="inlineStr">
        <is>
          <t>991004387109702656</t>
        </is>
      </c>
      <c r="AX619" t="inlineStr">
        <is>
          <t>991004387109702656</t>
        </is>
      </c>
      <c r="AY619" t="inlineStr">
        <is>
          <t>2270416820002656</t>
        </is>
      </c>
      <c r="AZ619" t="inlineStr">
        <is>
          <t>BOOK</t>
        </is>
      </c>
      <c r="BB619" t="inlineStr">
        <is>
          <t>9780819512109</t>
        </is>
      </c>
      <c r="BC619" t="inlineStr">
        <is>
          <t>32285005002802</t>
        </is>
      </c>
      <c r="BD619" t="inlineStr">
        <is>
          <t>893519590</t>
        </is>
      </c>
    </row>
    <row r="620">
      <c r="A620" t="inlineStr">
        <is>
          <t>No</t>
        </is>
      </c>
      <c r="B620" t="inlineStr">
        <is>
          <t>PL2357 .D6 1976b</t>
        </is>
      </c>
      <c r="C620" t="inlineStr">
        <is>
          <t>0                      PL 2357000D  6           1976b</t>
        </is>
      </c>
      <c r="D620" t="inlineStr">
        <is>
          <t>A history of Chinese drama / William Dolby.</t>
        </is>
      </c>
      <c r="F620" t="inlineStr">
        <is>
          <t>No</t>
        </is>
      </c>
      <c r="G620" t="inlineStr">
        <is>
          <t>1</t>
        </is>
      </c>
      <c r="H620" t="inlineStr">
        <is>
          <t>No</t>
        </is>
      </c>
      <c r="I620" t="inlineStr">
        <is>
          <t>No</t>
        </is>
      </c>
      <c r="J620" t="inlineStr">
        <is>
          <t>0</t>
        </is>
      </c>
      <c r="K620" t="inlineStr">
        <is>
          <t>Dolby, William.</t>
        </is>
      </c>
      <c r="L620" t="inlineStr">
        <is>
          <t>New York : Barnes &amp; Noble Books, 1976.</t>
        </is>
      </c>
      <c r="M620" t="inlineStr">
        <is>
          <t>1976</t>
        </is>
      </c>
      <c r="O620" t="inlineStr">
        <is>
          <t>eng</t>
        </is>
      </c>
      <c r="P620" t="inlineStr">
        <is>
          <t>nyu</t>
        </is>
      </c>
      <c r="R620" t="inlineStr">
        <is>
          <t xml:space="preserve">PL </t>
        </is>
      </c>
      <c r="S620" t="n">
        <v>3</v>
      </c>
      <c r="T620" t="n">
        <v>3</v>
      </c>
      <c r="U620" t="inlineStr">
        <is>
          <t>2001-03-25</t>
        </is>
      </c>
      <c r="V620" t="inlineStr">
        <is>
          <t>2001-03-25</t>
        </is>
      </c>
      <c r="W620" t="inlineStr">
        <is>
          <t>1992-12-02</t>
        </is>
      </c>
      <c r="X620" t="inlineStr">
        <is>
          <t>1992-12-02</t>
        </is>
      </c>
      <c r="Y620" t="n">
        <v>437</v>
      </c>
      <c r="Z620" t="n">
        <v>410</v>
      </c>
      <c r="AA620" t="n">
        <v>548</v>
      </c>
      <c r="AB620" t="n">
        <v>3</v>
      </c>
      <c r="AC620" t="n">
        <v>5</v>
      </c>
      <c r="AD620" t="n">
        <v>14</v>
      </c>
      <c r="AE620" t="n">
        <v>21</v>
      </c>
      <c r="AF620" t="n">
        <v>6</v>
      </c>
      <c r="AG620" t="n">
        <v>9</v>
      </c>
      <c r="AH620" t="n">
        <v>5</v>
      </c>
      <c r="AI620" t="n">
        <v>5</v>
      </c>
      <c r="AJ620" t="n">
        <v>7</v>
      </c>
      <c r="AK620" t="n">
        <v>10</v>
      </c>
      <c r="AL620" t="n">
        <v>1</v>
      </c>
      <c r="AM620" t="n">
        <v>3</v>
      </c>
      <c r="AN620" t="n">
        <v>0</v>
      </c>
      <c r="AO620" t="n">
        <v>0</v>
      </c>
      <c r="AP620" t="inlineStr">
        <is>
          <t>No</t>
        </is>
      </c>
      <c r="AQ620" t="inlineStr">
        <is>
          <t>Yes</t>
        </is>
      </c>
      <c r="AR620">
        <f>HYPERLINK("http://catalog.hathitrust.org/Record/000729760","HathiTrust Record")</f>
        <v/>
      </c>
      <c r="AS620">
        <f>HYPERLINK("https://creighton-primo.hosted.exlibrisgroup.com/primo-explore/search?tab=default_tab&amp;search_scope=EVERYTHING&amp;vid=01CRU&amp;lang=en_US&amp;offset=0&amp;query=any,contains,991004156209702656","Catalog Record")</f>
        <v/>
      </c>
      <c r="AT620">
        <f>HYPERLINK("http://www.worldcat.org/oclc/2541856","WorldCat Record")</f>
        <v/>
      </c>
      <c r="AU620" t="inlineStr">
        <is>
          <t>5484400:eng</t>
        </is>
      </c>
      <c r="AV620" t="inlineStr">
        <is>
          <t>2541856</t>
        </is>
      </c>
      <c r="AW620" t="inlineStr">
        <is>
          <t>991004156209702656</t>
        </is>
      </c>
      <c r="AX620" t="inlineStr">
        <is>
          <t>991004156209702656</t>
        </is>
      </c>
      <c r="AY620" t="inlineStr">
        <is>
          <t>2272749680002656</t>
        </is>
      </c>
      <c r="AZ620" t="inlineStr">
        <is>
          <t>BOOK</t>
        </is>
      </c>
      <c r="BB620" t="inlineStr">
        <is>
          <t>9780064917360</t>
        </is>
      </c>
      <c r="BC620" t="inlineStr">
        <is>
          <t>32285001410611</t>
        </is>
      </c>
      <c r="BD620" t="inlineStr">
        <is>
          <t>893535840</t>
        </is>
      </c>
    </row>
    <row r="621">
      <c r="A621" t="inlineStr">
        <is>
          <t>No</t>
        </is>
      </c>
      <c r="B621" t="inlineStr">
        <is>
          <t>PL2415 .C513 1976</t>
        </is>
      </c>
      <c r="C621" t="inlineStr">
        <is>
          <t>0                      PL 2415000C  513         1976</t>
        </is>
      </c>
      <c r="D621" t="inlineStr">
        <is>
          <t>A brief history of Chinese fiction / by Lu Hsun [pseud. Translated by Yang Hsien-Yi and Gladys Yang.</t>
        </is>
      </c>
      <c r="F621" t="inlineStr">
        <is>
          <t>No</t>
        </is>
      </c>
      <c r="G621" t="inlineStr">
        <is>
          <t>1</t>
        </is>
      </c>
      <c r="H621" t="inlineStr">
        <is>
          <t>No</t>
        </is>
      </c>
      <c r="I621" t="inlineStr">
        <is>
          <t>No</t>
        </is>
      </c>
      <c r="J621" t="inlineStr">
        <is>
          <t>0</t>
        </is>
      </c>
      <c r="K621" t="inlineStr">
        <is>
          <t>Lu, Xun, 1881-1936.</t>
        </is>
      </c>
      <c r="L621" t="inlineStr">
        <is>
          <t>Peking : Foreign Languages Press, 1976.</t>
        </is>
      </c>
      <c r="M621" t="inlineStr">
        <is>
          <t>1964</t>
        </is>
      </c>
      <c r="N621" t="inlineStr">
        <is>
          <t>3rd. ed.]</t>
        </is>
      </c>
      <c r="O621" t="inlineStr">
        <is>
          <t>eng</t>
        </is>
      </c>
      <c r="P621" t="inlineStr">
        <is>
          <t xml:space="preserve">xx </t>
        </is>
      </c>
      <c r="R621" t="inlineStr">
        <is>
          <t xml:space="preserve">PL </t>
        </is>
      </c>
      <c r="S621" t="n">
        <v>9</v>
      </c>
      <c r="T621" t="n">
        <v>9</v>
      </c>
      <c r="U621" t="inlineStr">
        <is>
          <t>2006-02-03</t>
        </is>
      </c>
      <c r="V621" t="inlineStr">
        <is>
          <t>2006-02-03</t>
        </is>
      </c>
      <c r="W621" t="inlineStr">
        <is>
          <t>1993-05-05</t>
        </is>
      </c>
      <c r="X621" t="inlineStr">
        <is>
          <t>1993-05-05</t>
        </is>
      </c>
      <c r="Y621" t="n">
        <v>118</v>
      </c>
      <c r="Z621" t="n">
        <v>100</v>
      </c>
      <c r="AA621" t="n">
        <v>509</v>
      </c>
      <c r="AB621" t="n">
        <v>3</v>
      </c>
      <c r="AC621" t="n">
        <v>4</v>
      </c>
      <c r="AD621" t="n">
        <v>5</v>
      </c>
      <c r="AE621" t="n">
        <v>22</v>
      </c>
      <c r="AF621" t="n">
        <v>0</v>
      </c>
      <c r="AG621" t="n">
        <v>10</v>
      </c>
      <c r="AH621" t="n">
        <v>1</v>
      </c>
      <c r="AI621" t="n">
        <v>6</v>
      </c>
      <c r="AJ621" t="n">
        <v>2</v>
      </c>
      <c r="AK621" t="n">
        <v>10</v>
      </c>
      <c r="AL621" t="n">
        <v>2</v>
      </c>
      <c r="AM621" t="n">
        <v>3</v>
      </c>
      <c r="AN621" t="n">
        <v>0</v>
      </c>
      <c r="AO621" t="n">
        <v>0</v>
      </c>
      <c r="AP621" t="inlineStr">
        <is>
          <t>No</t>
        </is>
      </c>
      <c r="AQ621" t="inlineStr">
        <is>
          <t>Yes</t>
        </is>
      </c>
      <c r="AR621">
        <f>HYPERLINK("http://catalog.hathitrust.org/Record/102041061","HathiTrust Record")</f>
        <v/>
      </c>
      <c r="AS621">
        <f>HYPERLINK("https://creighton-primo.hosted.exlibrisgroup.com/primo-explore/search?tab=default_tab&amp;search_scope=EVERYTHING&amp;vid=01CRU&amp;lang=en_US&amp;offset=0&amp;query=any,contains,991004676189702656","Catalog Record")</f>
        <v/>
      </c>
      <c r="AT621">
        <f>HYPERLINK("http://www.worldcat.org/oclc/4544317","WorldCat Record")</f>
        <v/>
      </c>
      <c r="AU621" t="inlineStr">
        <is>
          <t>4494918582:eng</t>
        </is>
      </c>
      <c r="AV621" t="inlineStr">
        <is>
          <t>4544317</t>
        </is>
      </c>
      <c r="AW621" t="inlineStr">
        <is>
          <t>991004676189702656</t>
        </is>
      </c>
      <c r="AX621" t="inlineStr">
        <is>
          <t>991004676189702656</t>
        </is>
      </c>
      <c r="AY621" t="inlineStr">
        <is>
          <t>2255396690002656</t>
        </is>
      </c>
      <c r="AZ621" t="inlineStr">
        <is>
          <t>BOOK</t>
        </is>
      </c>
      <c r="BC621" t="inlineStr">
        <is>
          <t>32285001672319</t>
        </is>
      </c>
      <c r="BD621" t="inlineStr">
        <is>
          <t>893706696</t>
        </is>
      </c>
    </row>
    <row r="622">
      <c r="A622" t="inlineStr">
        <is>
          <t>No</t>
        </is>
      </c>
      <c r="B622" t="inlineStr">
        <is>
          <t>PL2442 .H8</t>
        </is>
      </c>
      <c r="C622" t="inlineStr">
        <is>
          <t>0                      PL 2442000H  8</t>
        </is>
      </c>
      <c r="D622" t="inlineStr">
        <is>
          <t>A history of modern Chinese fiction, 1917-1957 / by T.C. Hsia. With an appendix on Taiwan by Tsi-an Hsia.</t>
        </is>
      </c>
      <c r="F622" t="inlineStr">
        <is>
          <t>No</t>
        </is>
      </c>
      <c r="G622" t="inlineStr">
        <is>
          <t>1</t>
        </is>
      </c>
      <c r="H622" t="inlineStr">
        <is>
          <t>No</t>
        </is>
      </c>
      <c r="I622" t="inlineStr">
        <is>
          <t>Yes</t>
        </is>
      </c>
      <c r="J622" t="inlineStr">
        <is>
          <t>0</t>
        </is>
      </c>
      <c r="K622" t="inlineStr">
        <is>
          <t>Hsia, Chih-tsing, 1921-2013.</t>
        </is>
      </c>
      <c r="L622" t="inlineStr">
        <is>
          <t>New Haven, Yale University Press, 1961.</t>
        </is>
      </c>
      <c r="M622" t="inlineStr">
        <is>
          <t>1961</t>
        </is>
      </c>
      <c r="O622" t="inlineStr">
        <is>
          <t>eng</t>
        </is>
      </c>
      <c r="P622" t="inlineStr">
        <is>
          <t>ctu</t>
        </is>
      </c>
      <c r="R622" t="inlineStr">
        <is>
          <t xml:space="preserve">PL </t>
        </is>
      </c>
      <c r="S622" t="n">
        <v>10</v>
      </c>
      <c r="T622" t="n">
        <v>10</v>
      </c>
      <c r="U622" t="inlineStr">
        <is>
          <t>2005-09-27</t>
        </is>
      </c>
      <c r="V622" t="inlineStr">
        <is>
          <t>2005-09-27</t>
        </is>
      </c>
      <c r="W622" t="inlineStr">
        <is>
          <t>1997-09-12</t>
        </is>
      </c>
      <c r="X622" t="inlineStr">
        <is>
          <t>1997-09-12</t>
        </is>
      </c>
      <c r="Y622" t="n">
        <v>735</v>
      </c>
      <c r="Z622" t="n">
        <v>666</v>
      </c>
      <c r="AA622" t="n">
        <v>809</v>
      </c>
      <c r="AB622" t="n">
        <v>4</v>
      </c>
      <c r="AC622" t="n">
        <v>5</v>
      </c>
      <c r="AD622" t="n">
        <v>25</v>
      </c>
      <c r="AE622" t="n">
        <v>33</v>
      </c>
      <c r="AF622" t="n">
        <v>8</v>
      </c>
      <c r="AG622" t="n">
        <v>12</v>
      </c>
      <c r="AH622" t="n">
        <v>5</v>
      </c>
      <c r="AI622" t="n">
        <v>8</v>
      </c>
      <c r="AJ622" t="n">
        <v>12</v>
      </c>
      <c r="AK622" t="n">
        <v>14</v>
      </c>
      <c r="AL622" t="n">
        <v>3</v>
      </c>
      <c r="AM622" t="n">
        <v>4</v>
      </c>
      <c r="AN622" t="n">
        <v>0</v>
      </c>
      <c r="AO622" t="n">
        <v>0</v>
      </c>
      <c r="AP622" t="inlineStr">
        <is>
          <t>No</t>
        </is>
      </c>
      <c r="AQ622" t="inlineStr">
        <is>
          <t>Yes</t>
        </is>
      </c>
      <c r="AR622">
        <f>HYPERLINK("http://catalog.hathitrust.org/Record/001185133","HathiTrust Record")</f>
        <v/>
      </c>
      <c r="AS622">
        <f>HYPERLINK("https://creighton-primo.hosted.exlibrisgroup.com/primo-explore/search?tab=default_tab&amp;search_scope=EVERYTHING&amp;vid=01CRU&amp;lang=en_US&amp;offset=0&amp;query=any,contains,991002368339702656","Catalog Record")</f>
        <v/>
      </c>
      <c r="AT622">
        <f>HYPERLINK("http://www.worldcat.org/oclc/326729","WorldCat Record")</f>
        <v/>
      </c>
      <c r="AU622" t="inlineStr">
        <is>
          <t>10177814420:eng</t>
        </is>
      </c>
      <c r="AV622" t="inlineStr">
        <is>
          <t>326729</t>
        </is>
      </c>
      <c r="AW622" t="inlineStr">
        <is>
          <t>991002368339702656</t>
        </is>
      </c>
      <c r="AX622" t="inlineStr">
        <is>
          <t>991002368339702656</t>
        </is>
      </c>
      <c r="AY622" t="inlineStr">
        <is>
          <t>2272054740002656</t>
        </is>
      </c>
      <c r="AZ622" t="inlineStr">
        <is>
          <t>BOOK</t>
        </is>
      </c>
      <c r="BC622" t="inlineStr">
        <is>
          <t>32285003170627</t>
        </is>
      </c>
      <c r="BD622" t="inlineStr">
        <is>
          <t>893523521</t>
        </is>
      </c>
    </row>
    <row r="623">
      <c r="A623" t="inlineStr">
        <is>
          <t>No</t>
        </is>
      </c>
      <c r="B623" t="inlineStr">
        <is>
          <t>PL2443 .T36 2002</t>
        </is>
      </c>
      <c r="C623" t="inlineStr">
        <is>
          <t>0                      PL 2443000T  36          2002</t>
        </is>
      </c>
      <c r="D623" t="inlineStr">
        <is>
          <t>Chang pian xiao shuo yu wen hua mu ti / Tan Guilin zhu.</t>
        </is>
      </c>
      <c r="F623" t="inlineStr">
        <is>
          <t>No</t>
        </is>
      </c>
      <c r="G623" t="inlineStr">
        <is>
          <t>1</t>
        </is>
      </c>
      <c r="H623" t="inlineStr">
        <is>
          <t>No</t>
        </is>
      </c>
      <c r="I623" t="inlineStr">
        <is>
          <t>No</t>
        </is>
      </c>
      <c r="J623" t="inlineStr">
        <is>
          <t>0</t>
        </is>
      </c>
      <c r="K623" t="inlineStr">
        <is>
          <t>Tan, Guilin.</t>
        </is>
      </c>
      <c r="L623" t="inlineStr">
        <is>
          <t>Changsha Shi : Hunan shi fan da xue chu ban she : Hunan Sheng Xin hua shu dian jing xiao, 2002.</t>
        </is>
      </c>
      <c r="M623" t="inlineStr">
        <is>
          <t>2002</t>
        </is>
      </c>
      <c r="N623" t="inlineStr">
        <is>
          <t>Di 1 ban.</t>
        </is>
      </c>
      <c r="O623" t="inlineStr">
        <is>
          <t>chi</t>
        </is>
      </c>
      <c r="P623" t="inlineStr">
        <is>
          <t xml:space="preserve">cc </t>
        </is>
      </c>
      <c r="Q623" t="inlineStr">
        <is>
          <t>Zhongguo xian dang dai wen xue yu wen hua yan jiu cong shu</t>
        </is>
      </c>
      <c r="R623" t="inlineStr">
        <is>
          <t xml:space="preserve">PL </t>
        </is>
      </c>
      <c r="S623" t="n">
        <v>1</v>
      </c>
      <c r="T623" t="n">
        <v>1</v>
      </c>
      <c r="U623" t="inlineStr">
        <is>
          <t>2007-04-19</t>
        </is>
      </c>
      <c r="V623" t="inlineStr">
        <is>
          <t>2007-04-19</t>
        </is>
      </c>
      <c r="W623" t="inlineStr">
        <is>
          <t>2007-04-19</t>
        </is>
      </c>
      <c r="X623" t="inlineStr">
        <is>
          <t>2007-04-19</t>
        </is>
      </c>
      <c r="Y623" t="n">
        <v>23</v>
      </c>
      <c r="Z623" t="n">
        <v>11</v>
      </c>
      <c r="AA623" t="n">
        <v>11</v>
      </c>
      <c r="AB623" t="n">
        <v>1</v>
      </c>
      <c r="AC623" t="n">
        <v>1</v>
      </c>
      <c r="AD623" t="n">
        <v>0</v>
      </c>
      <c r="AE623" t="n">
        <v>0</v>
      </c>
      <c r="AF623" t="n">
        <v>0</v>
      </c>
      <c r="AG623" t="n">
        <v>0</v>
      </c>
      <c r="AH623" t="n">
        <v>0</v>
      </c>
      <c r="AI623" t="n">
        <v>0</v>
      </c>
      <c r="AJ623" t="n">
        <v>0</v>
      </c>
      <c r="AK623" t="n">
        <v>0</v>
      </c>
      <c r="AL623" t="n">
        <v>0</v>
      </c>
      <c r="AM623" t="n">
        <v>0</v>
      </c>
      <c r="AN623" t="n">
        <v>0</v>
      </c>
      <c r="AO623" t="n">
        <v>0</v>
      </c>
      <c r="AP623" t="inlineStr">
        <is>
          <t>No</t>
        </is>
      </c>
      <c r="AQ623" t="inlineStr">
        <is>
          <t>No</t>
        </is>
      </c>
      <c r="AS623">
        <f>HYPERLINK("https://creighton-primo.hosted.exlibrisgroup.com/primo-explore/search?tab=default_tab&amp;search_scope=EVERYTHING&amp;vid=01CRU&amp;lang=en_US&amp;offset=0&amp;query=any,contains,991005074719702656","Catalog Record")</f>
        <v/>
      </c>
      <c r="AT623">
        <f>HYPERLINK("http://www.worldcat.org/oclc/52078802","WorldCat Record")</f>
        <v/>
      </c>
      <c r="AU623" t="inlineStr">
        <is>
          <t>9619935:chi</t>
        </is>
      </c>
      <c r="AV623" t="inlineStr">
        <is>
          <t>52078802</t>
        </is>
      </c>
      <c r="AW623" t="inlineStr">
        <is>
          <t>991005074719702656</t>
        </is>
      </c>
      <c r="AX623" t="inlineStr">
        <is>
          <t>991005074719702656</t>
        </is>
      </c>
      <c r="AY623" t="inlineStr">
        <is>
          <t>2259419740002656</t>
        </is>
      </c>
      <c r="AZ623" t="inlineStr">
        <is>
          <t>BOOK</t>
        </is>
      </c>
      <c r="BB623" t="inlineStr">
        <is>
          <t>9787810811941</t>
        </is>
      </c>
      <c r="BC623" t="inlineStr">
        <is>
          <t>32285005288872</t>
        </is>
      </c>
      <c r="BD623" t="inlineStr">
        <is>
          <t>893795564</t>
        </is>
      </c>
    </row>
    <row r="624">
      <c r="A624" t="inlineStr">
        <is>
          <t>No</t>
        </is>
      </c>
      <c r="B624" t="inlineStr">
        <is>
          <t>PL2515 .S591 1995</t>
        </is>
      </c>
      <c r="C624" t="inlineStr">
        <is>
          <t>0                      PL 2515000S  591         1995</t>
        </is>
      </c>
      <c r="D624" t="inlineStr">
        <is>
          <t>Six contemporary Chinese women writers IV.</t>
        </is>
      </c>
      <c r="F624" t="inlineStr">
        <is>
          <t>No</t>
        </is>
      </c>
      <c r="G624" t="inlineStr">
        <is>
          <t>1</t>
        </is>
      </c>
      <c r="H624" t="inlineStr">
        <is>
          <t>No</t>
        </is>
      </c>
      <c r="I624" t="inlineStr">
        <is>
          <t>No</t>
        </is>
      </c>
      <c r="J624" t="inlineStr">
        <is>
          <t>0</t>
        </is>
      </c>
      <c r="L624" t="inlineStr">
        <is>
          <t>Beijing, China : Chinese Literature Press, 1995.</t>
        </is>
      </c>
      <c r="M624" t="inlineStr">
        <is>
          <t>1995</t>
        </is>
      </c>
      <c r="N624" t="inlineStr">
        <is>
          <t>1st ed.</t>
        </is>
      </c>
      <c r="O624" t="inlineStr">
        <is>
          <t>eng</t>
        </is>
      </c>
      <c r="P624" t="inlineStr">
        <is>
          <t xml:space="preserve">cc </t>
        </is>
      </c>
      <c r="R624" t="inlineStr">
        <is>
          <t xml:space="preserve">PL </t>
        </is>
      </c>
      <c r="S624" t="n">
        <v>3</v>
      </c>
      <c r="T624" t="n">
        <v>3</v>
      </c>
      <c r="U624" t="inlineStr">
        <is>
          <t>2003-01-24</t>
        </is>
      </c>
      <c r="V624" t="inlineStr">
        <is>
          <t>2003-01-24</t>
        </is>
      </c>
      <c r="W624" t="inlineStr">
        <is>
          <t>1997-03-13</t>
        </is>
      </c>
      <c r="X624" t="inlineStr">
        <is>
          <t>1997-03-13</t>
        </is>
      </c>
      <c r="Y624" t="n">
        <v>76</v>
      </c>
      <c r="Z624" t="n">
        <v>60</v>
      </c>
      <c r="AA624" t="n">
        <v>74</v>
      </c>
      <c r="AB624" t="n">
        <v>1</v>
      </c>
      <c r="AC624" t="n">
        <v>1</v>
      </c>
      <c r="AD624" t="n">
        <v>3</v>
      </c>
      <c r="AE624" t="n">
        <v>3</v>
      </c>
      <c r="AF624" t="n">
        <v>2</v>
      </c>
      <c r="AG624" t="n">
        <v>2</v>
      </c>
      <c r="AH624" t="n">
        <v>1</v>
      </c>
      <c r="AI624" t="n">
        <v>1</v>
      </c>
      <c r="AJ624" t="n">
        <v>1</v>
      </c>
      <c r="AK624" t="n">
        <v>1</v>
      </c>
      <c r="AL624" t="n">
        <v>0</v>
      </c>
      <c r="AM624" t="n">
        <v>0</v>
      </c>
      <c r="AN624" t="n">
        <v>0</v>
      </c>
      <c r="AO624" t="n">
        <v>0</v>
      </c>
      <c r="AP624" t="inlineStr">
        <is>
          <t>No</t>
        </is>
      </c>
      <c r="AQ624" t="inlineStr">
        <is>
          <t>Yes</t>
        </is>
      </c>
      <c r="AR624">
        <f>HYPERLINK("http://catalog.hathitrust.org/Record/007133974","HathiTrust Record")</f>
        <v/>
      </c>
      <c r="AS624">
        <f>HYPERLINK("https://creighton-primo.hosted.exlibrisgroup.com/primo-explore/search?tab=default_tab&amp;search_scope=EVERYTHING&amp;vid=01CRU&amp;lang=en_US&amp;offset=0&amp;query=any,contains,991002738829702656","Catalog Record")</f>
        <v/>
      </c>
      <c r="AT624">
        <f>HYPERLINK("http://www.worldcat.org/oclc/35966415","WorldCat Record")</f>
        <v/>
      </c>
      <c r="AU624" t="inlineStr">
        <is>
          <t>3769789354:eng</t>
        </is>
      </c>
      <c r="AV624" t="inlineStr">
        <is>
          <t>35966415</t>
        </is>
      </c>
      <c r="AW624" t="inlineStr">
        <is>
          <t>991002738829702656</t>
        </is>
      </c>
      <c r="AX624" t="inlineStr">
        <is>
          <t>991002738829702656</t>
        </is>
      </c>
      <c r="AY624" t="inlineStr">
        <is>
          <t>2258473490002656</t>
        </is>
      </c>
      <c r="AZ624" t="inlineStr">
        <is>
          <t>BOOK</t>
        </is>
      </c>
      <c r="BB624" t="inlineStr">
        <is>
          <t>9780835131759</t>
        </is>
      </c>
      <c r="BC624" t="inlineStr">
        <is>
          <t>32285002442290</t>
        </is>
      </c>
      <c r="BD624" t="inlineStr">
        <is>
          <t>893257649</t>
        </is>
      </c>
    </row>
    <row r="625">
      <c r="A625" t="inlineStr">
        <is>
          <t>No</t>
        </is>
      </c>
      <c r="B625" t="inlineStr">
        <is>
          <t>PL2515 .W75 1998</t>
        </is>
      </c>
      <c r="C625" t="inlineStr">
        <is>
          <t>0                      PL 2515000W  75          1998</t>
        </is>
      </c>
      <c r="D625" t="inlineStr">
        <is>
          <t>Writing women in modern China : an anthology of women's literature from the early twentieth century / edited by Amy D. Dooling and Kristina M. Torgeson.</t>
        </is>
      </c>
      <c r="F625" t="inlineStr">
        <is>
          <t>No</t>
        </is>
      </c>
      <c r="G625" t="inlineStr">
        <is>
          <t>1</t>
        </is>
      </c>
      <c r="H625" t="inlineStr">
        <is>
          <t>No</t>
        </is>
      </c>
      <c r="I625" t="inlineStr">
        <is>
          <t>No</t>
        </is>
      </c>
      <c r="J625" t="inlineStr">
        <is>
          <t>0</t>
        </is>
      </c>
      <c r="L625" t="inlineStr">
        <is>
          <t>New York : Columbia University Press, c1998.</t>
        </is>
      </c>
      <c r="M625" t="inlineStr">
        <is>
          <t>1998</t>
        </is>
      </c>
      <c r="O625" t="inlineStr">
        <is>
          <t>eng</t>
        </is>
      </c>
      <c r="P625" t="inlineStr">
        <is>
          <t>nyu</t>
        </is>
      </c>
      <c r="Q625" t="inlineStr">
        <is>
          <t>Modern Asian literature series</t>
        </is>
      </c>
      <c r="R625" t="inlineStr">
        <is>
          <t xml:space="preserve">PL </t>
        </is>
      </c>
      <c r="S625" t="n">
        <v>4</v>
      </c>
      <c r="T625" t="n">
        <v>4</v>
      </c>
      <c r="U625" t="inlineStr">
        <is>
          <t>2005-04-24</t>
        </is>
      </c>
      <c r="V625" t="inlineStr">
        <is>
          <t>2005-04-24</t>
        </is>
      </c>
      <c r="W625" t="inlineStr">
        <is>
          <t>1998-10-20</t>
        </is>
      </c>
      <c r="X625" t="inlineStr">
        <is>
          <t>1998-10-20</t>
        </is>
      </c>
      <c r="Y625" t="n">
        <v>569</v>
      </c>
      <c r="Z625" t="n">
        <v>476</v>
      </c>
      <c r="AA625" t="n">
        <v>477</v>
      </c>
      <c r="AB625" t="n">
        <v>4</v>
      </c>
      <c r="AC625" t="n">
        <v>4</v>
      </c>
      <c r="AD625" t="n">
        <v>28</v>
      </c>
      <c r="AE625" t="n">
        <v>28</v>
      </c>
      <c r="AF625" t="n">
        <v>13</v>
      </c>
      <c r="AG625" t="n">
        <v>13</v>
      </c>
      <c r="AH625" t="n">
        <v>5</v>
      </c>
      <c r="AI625" t="n">
        <v>5</v>
      </c>
      <c r="AJ625" t="n">
        <v>13</v>
      </c>
      <c r="AK625" t="n">
        <v>13</v>
      </c>
      <c r="AL625" t="n">
        <v>3</v>
      </c>
      <c r="AM625" t="n">
        <v>3</v>
      </c>
      <c r="AN625" t="n">
        <v>0</v>
      </c>
      <c r="AO625" t="n">
        <v>0</v>
      </c>
      <c r="AP625" t="inlineStr">
        <is>
          <t>No</t>
        </is>
      </c>
      <c r="AQ625" t="inlineStr">
        <is>
          <t>No</t>
        </is>
      </c>
      <c r="AS625">
        <f>HYPERLINK("https://creighton-primo.hosted.exlibrisgroup.com/primo-explore/search?tab=default_tab&amp;search_scope=EVERYTHING&amp;vid=01CRU&amp;lang=en_US&amp;offset=0&amp;query=any,contains,991002803639702656","Catalog Record")</f>
        <v/>
      </c>
      <c r="AT625">
        <f>HYPERLINK("http://www.worldcat.org/oclc/36824861","WorldCat Record")</f>
        <v/>
      </c>
      <c r="AU625" t="inlineStr">
        <is>
          <t>836950072:eng</t>
        </is>
      </c>
      <c r="AV625" t="inlineStr">
        <is>
          <t>36824861</t>
        </is>
      </c>
      <c r="AW625" t="inlineStr">
        <is>
          <t>991002803639702656</t>
        </is>
      </c>
      <c r="AX625" t="inlineStr">
        <is>
          <t>991002803639702656</t>
        </is>
      </c>
      <c r="AY625" t="inlineStr">
        <is>
          <t>2270413070002656</t>
        </is>
      </c>
      <c r="AZ625" t="inlineStr">
        <is>
          <t>BOOK</t>
        </is>
      </c>
      <c r="BB625" t="inlineStr">
        <is>
          <t>9780231107006</t>
        </is>
      </c>
      <c r="BC625" t="inlineStr">
        <is>
          <t>32285003475042</t>
        </is>
      </c>
      <c r="BD625" t="inlineStr">
        <is>
          <t>893867727</t>
        </is>
      </c>
    </row>
    <row r="626">
      <c r="A626" t="inlineStr">
        <is>
          <t>No</t>
        </is>
      </c>
      <c r="B626" t="inlineStr">
        <is>
          <t>PL2515 .W76 2005</t>
        </is>
      </c>
      <c r="C626" t="inlineStr">
        <is>
          <t>0                      PL 2515000W  76          2005</t>
        </is>
      </c>
      <c r="D626" t="inlineStr">
        <is>
          <t>Writing women in modern China : the revolutionary years, 1936-1976 / edited by Amy D. Dooling.</t>
        </is>
      </c>
      <c r="F626" t="inlineStr">
        <is>
          <t>No</t>
        </is>
      </c>
      <c r="G626" t="inlineStr">
        <is>
          <t>1</t>
        </is>
      </c>
      <c r="H626" t="inlineStr">
        <is>
          <t>No</t>
        </is>
      </c>
      <c r="I626" t="inlineStr">
        <is>
          <t>No</t>
        </is>
      </c>
      <c r="J626" t="inlineStr">
        <is>
          <t>0</t>
        </is>
      </c>
      <c r="L626" t="inlineStr">
        <is>
          <t>New York : Columbia University Press, c2005.</t>
        </is>
      </c>
      <c r="M626" t="inlineStr">
        <is>
          <t>2005</t>
        </is>
      </c>
      <c r="O626" t="inlineStr">
        <is>
          <t>eng</t>
        </is>
      </c>
      <c r="P626" t="inlineStr">
        <is>
          <t>nyu</t>
        </is>
      </c>
      <c r="Q626" t="inlineStr">
        <is>
          <t>Weatherhead books on Asia</t>
        </is>
      </c>
      <c r="R626" t="inlineStr">
        <is>
          <t xml:space="preserve">PL </t>
        </is>
      </c>
      <c r="S626" t="n">
        <v>2</v>
      </c>
      <c r="T626" t="n">
        <v>2</v>
      </c>
      <c r="U626" t="inlineStr">
        <is>
          <t>2005-10-03</t>
        </is>
      </c>
      <c r="V626" t="inlineStr">
        <is>
          <t>2005-10-03</t>
        </is>
      </c>
      <c r="W626" t="inlineStr">
        <is>
          <t>2005-10-03</t>
        </is>
      </c>
      <c r="X626" t="inlineStr">
        <is>
          <t>2005-10-03</t>
        </is>
      </c>
      <c r="Y626" t="n">
        <v>296</v>
      </c>
      <c r="Z626" t="n">
        <v>244</v>
      </c>
      <c r="AA626" t="n">
        <v>252</v>
      </c>
      <c r="AB626" t="n">
        <v>1</v>
      </c>
      <c r="AC626" t="n">
        <v>1</v>
      </c>
      <c r="AD626" t="n">
        <v>13</v>
      </c>
      <c r="AE626" t="n">
        <v>13</v>
      </c>
      <c r="AF626" t="n">
        <v>6</v>
      </c>
      <c r="AG626" t="n">
        <v>6</v>
      </c>
      <c r="AH626" t="n">
        <v>4</v>
      </c>
      <c r="AI626" t="n">
        <v>4</v>
      </c>
      <c r="AJ626" t="n">
        <v>7</v>
      </c>
      <c r="AK626" t="n">
        <v>7</v>
      </c>
      <c r="AL626" t="n">
        <v>0</v>
      </c>
      <c r="AM626" t="n">
        <v>0</v>
      </c>
      <c r="AN626" t="n">
        <v>0</v>
      </c>
      <c r="AO626" t="n">
        <v>0</v>
      </c>
      <c r="AP626" t="inlineStr">
        <is>
          <t>No</t>
        </is>
      </c>
      <c r="AQ626" t="inlineStr">
        <is>
          <t>No</t>
        </is>
      </c>
      <c r="AS626">
        <f>HYPERLINK("https://creighton-primo.hosted.exlibrisgroup.com/primo-explore/search?tab=default_tab&amp;search_scope=EVERYTHING&amp;vid=01CRU&amp;lang=en_US&amp;offset=0&amp;query=any,contains,991004629279702656","Catalog Record")</f>
        <v/>
      </c>
      <c r="AT626">
        <f>HYPERLINK("http://www.worldcat.org/oclc/56419330","WorldCat Record")</f>
        <v/>
      </c>
      <c r="AU626" t="inlineStr">
        <is>
          <t>795910364:eng</t>
        </is>
      </c>
      <c r="AV626" t="inlineStr">
        <is>
          <t>56419330</t>
        </is>
      </c>
      <c r="AW626" t="inlineStr">
        <is>
          <t>991004629279702656</t>
        </is>
      </c>
      <c r="AX626" t="inlineStr">
        <is>
          <t>991004629279702656</t>
        </is>
      </c>
      <c r="AY626" t="inlineStr">
        <is>
          <t>2262674860002656</t>
        </is>
      </c>
      <c r="AZ626" t="inlineStr">
        <is>
          <t>BOOK</t>
        </is>
      </c>
      <c r="BB626" t="inlineStr">
        <is>
          <t>9780231132169</t>
        </is>
      </c>
      <c r="BC626" t="inlineStr">
        <is>
          <t>32285005086722</t>
        </is>
      </c>
      <c r="BD626" t="inlineStr">
        <is>
          <t>893424010</t>
        </is>
      </c>
    </row>
    <row r="627">
      <c r="A627" t="inlineStr">
        <is>
          <t>No</t>
        </is>
      </c>
      <c r="B627" t="inlineStr">
        <is>
          <t>PL2658.E1 B5</t>
        </is>
      </c>
      <c r="C627" t="inlineStr">
        <is>
          <t>0                      PL 2658000E  1                  B  5</t>
        </is>
      </c>
      <c r="D627" t="inlineStr">
        <is>
          <t>Anthology of Chinese literature : from early times to the fourteenth century / compiled and edited by Cyril Birch ; associate editor, Donald Keene.</t>
        </is>
      </c>
      <c r="F627" t="inlineStr">
        <is>
          <t>No</t>
        </is>
      </c>
      <c r="G627" t="inlineStr">
        <is>
          <t>1</t>
        </is>
      </c>
      <c r="H627" t="inlineStr">
        <is>
          <t>No</t>
        </is>
      </c>
      <c r="I627" t="inlineStr">
        <is>
          <t>No</t>
        </is>
      </c>
      <c r="J627" t="inlineStr">
        <is>
          <t>0</t>
        </is>
      </c>
      <c r="L627" t="inlineStr">
        <is>
          <t>New York : Grove Press, c1965.</t>
        </is>
      </c>
      <c r="M627" t="inlineStr">
        <is>
          <t>1965</t>
        </is>
      </c>
      <c r="O627" t="inlineStr">
        <is>
          <t>eng</t>
        </is>
      </c>
      <c r="P627" t="inlineStr">
        <is>
          <t>nyu</t>
        </is>
      </c>
      <c r="Q627" t="inlineStr">
        <is>
          <t>UNESCO collection of representative works. Chinese series</t>
        </is>
      </c>
      <c r="R627" t="inlineStr">
        <is>
          <t xml:space="preserve">PL </t>
        </is>
      </c>
      <c r="S627" t="n">
        <v>8</v>
      </c>
      <c r="T627" t="n">
        <v>8</v>
      </c>
      <c r="U627" t="inlineStr">
        <is>
          <t>2009-06-18</t>
        </is>
      </c>
      <c r="V627" t="inlineStr">
        <is>
          <t>2009-06-18</t>
        </is>
      </c>
      <c r="W627" t="inlineStr">
        <is>
          <t>1997-09-17</t>
        </is>
      </c>
      <c r="X627" t="inlineStr">
        <is>
          <t>1997-09-17</t>
        </is>
      </c>
      <c r="Y627" t="n">
        <v>1655</v>
      </c>
      <c r="Z627" t="n">
        <v>1532</v>
      </c>
      <c r="AA627" t="n">
        <v>1706</v>
      </c>
      <c r="AB627" t="n">
        <v>15</v>
      </c>
      <c r="AC627" t="n">
        <v>16</v>
      </c>
      <c r="AD627" t="n">
        <v>58</v>
      </c>
      <c r="AE627" t="n">
        <v>60</v>
      </c>
      <c r="AF627" t="n">
        <v>24</v>
      </c>
      <c r="AG627" t="n">
        <v>25</v>
      </c>
      <c r="AH627" t="n">
        <v>10</v>
      </c>
      <c r="AI627" t="n">
        <v>10</v>
      </c>
      <c r="AJ627" t="n">
        <v>24</v>
      </c>
      <c r="AK627" t="n">
        <v>25</v>
      </c>
      <c r="AL627" t="n">
        <v>12</v>
      </c>
      <c r="AM627" t="n">
        <v>13</v>
      </c>
      <c r="AN627" t="n">
        <v>0</v>
      </c>
      <c r="AO627" t="n">
        <v>0</v>
      </c>
      <c r="AP627" t="inlineStr">
        <is>
          <t>No</t>
        </is>
      </c>
      <c r="AQ627" t="inlineStr">
        <is>
          <t>Yes</t>
        </is>
      </c>
      <c r="AR627">
        <f>HYPERLINK("http://catalog.hathitrust.org/Record/000850007","HathiTrust Record")</f>
        <v/>
      </c>
      <c r="AS627">
        <f>HYPERLINK("https://creighton-primo.hosted.exlibrisgroup.com/primo-explore/search?tab=default_tab&amp;search_scope=EVERYTHING&amp;vid=01CRU&amp;lang=en_US&amp;offset=0&amp;query=any,contains,991001919279702656","Catalog Record")</f>
        <v/>
      </c>
      <c r="AT627">
        <f>HYPERLINK("http://www.worldcat.org/oclc/331103","WorldCat Record")</f>
        <v/>
      </c>
      <c r="AU627" t="inlineStr">
        <is>
          <t>3943732950:eng</t>
        </is>
      </c>
      <c r="AV627" t="inlineStr">
        <is>
          <t>331103</t>
        </is>
      </c>
      <c r="AW627" t="inlineStr">
        <is>
          <t>991001919279702656</t>
        </is>
      </c>
      <c r="AX627" t="inlineStr">
        <is>
          <t>991001919279702656</t>
        </is>
      </c>
      <c r="AY627" t="inlineStr">
        <is>
          <t>2254871520002656</t>
        </is>
      </c>
      <c r="AZ627" t="inlineStr">
        <is>
          <t>BOOK</t>
        </is>
      </c>
      <c r="BC627" t="inlineStr">
        <is>
          <t>32285003224911</t>
        </is>
      </c>
      <c r="BD627" t="inlineStr">
        <is>
          <t>893334722</t>
        </is>
      </c>
    </row>
    <row r="628">
      <c r="A628" t="inlineStr">
        <is>
          <t>No</t>
        </is>
      </c>
      <c r="B628" t="inlineStr">
        <is>
          <t>PL2658.E1 C5</t>
        </is>
      </c>
      <c r="C628" t="inlineStr">
        <is>
          <t>0                      PL 2658000E  1                  C  5</t>
        </is>
      </c>
      <c r="D628" t="inlineStr">
        <is>
          <t>A treasury of Chinese literature; a new prose anthology, including fiction and drama. Translated and edited by Chʼu Chai and Winberg Chai.</t>
        </is>
      </c>
      <c r="F628" t="inlineStr">
        <is>
          <t>No</t>
        </is>
      </c>
      <c r="G628" t="inlineStr">
        <is>
          <t>1</t>
        </is>
      </c>
      <c r="H628" t="inlineStr">
        <is>
          <t>No</t>
        </is>
      </c>
      <c r="I628" t="inlineStr">
        <is>
          <t>No</t>
        </is>
      </c>
      <c r="J628" t="inlineStr">
        <is>
          <t>0</t>
        </is>
      </c>
      <c r="K628" t="inlineStr">
        <is>
          <t>Chai, Chʻu, 1906-1986, editor, translator.</t>
        </is>
      </c>
      <c r="L628" t="inlineStr">
        <is>
          <t>New York, Appleton-Century [1965]</t>
        </is>
      </c>
      <c r="M628" t="inlineStr">
        <is>
          <t>1965</t>
        </is>
      </c>
      <c r="N628" t="inlineStr">
        <is>
          <t>[1st ed.]</t>
        </is>
      </c>
      <c r="O628" t="inlineStr">
        <is>
          <t>eng</t>
        </is>
      </c>
      <c r="P628" t="inlineStr">
        <is>
          <t>nyu</t>
        </is>
      </c>
      <c r="R628" t="inlineStr">
        <is>
          <t xml:space="preserve">PL </t>
        </is>
      </c>
      <c r="S628" t="n">
        <v>7</v>
      </c>
      <c r="T628" t="n">
        <v>7</v>
      </c>
      <c r="U628" t="inlineStr">
        <is>
          <t>2009-06-18</t>
        </is>
      </c>
      <c r="V628" t="inlineStr">
        <is>
          <t>2009-06-18</t>
        </is>
      </c>
      <c r="W628" t="inlineStr">
        <is>
          <t>1997-09-17</t>
        </is>
      </c>
      <c r="X628" t="inlineStr">
        <is>
          <t>1997-09-17</t>
        </is>
      </c>
      <c r="Y628" t="n">
        <v>713</v>
      </c>
      <c r="Z628" t="n">
        <v>664</v>
      </c>
      <c r="AA628" t="n">
        <v>707</v>
      </c>
      <c r="AB628" t="n">
        <v>6</v>
      </c>
      <c r="AC628" t="n">
        <v>7</v>
      </c>
      <c r="AD628" t="n">
        <v>19</v>
      </c>
      <c r="AE628" t="n">
        <v>24</v>
      </c>
      <c r="AF628" t="n">
        <v>7</v>
      </c>
      <c r="AG628" t="n">
        <v>10</v>
      </c>
      <c r="AH628" t="n">
        <v>3</v>
      </c>
      <c r="AI628" t="n">
        <v>4</v>
      </c>
      <c r="AJ628" t="n">
        <v>10</v>
      </c>
      <c r="AK628" t="n">
        <v>11</v>
      </c>
      <c r="AL628" t="n">
        <v>4</v>
      </c>
      <c r="AM628" t="n">
        <v>5</v>
      </c>
      <c r="AN628" t="n">
        <v>0</v>
      </c>
      <c r="AO628" t="n">
        <v>0</v>
      </c>
      <c r="AP628" t="inlineStr">
        <is>
          <t>No</t>
        </is>
      </c>
      <c r="AQ628" t="inlineStr">
        <is>
          <t>Yes</t>
        </is>
      </c>
      <c r="AR628">
        <f>HYPERLINK("http://catalog.hathitrust.org/Record/001774327","HathiTrust Record")</f>
        <v/>
      </c>
      <c r="AS628">
        <f>HYPERLINK("https://creighton-primo.hosted.exlibrisgroup.com/primo-explore/search?tab=default_tab&amp;search_scope=EVERYTHING&amp;vid=01CRU&amp;lang=en_US&amp;offset=0&amp;query=any,contains,991001963129702656","Catalog Record")</f>
        <v/>
      </c>
      <c r="AT628">
        <f>HYPERLINK("http://www.worldcat.org/oclc/253663","WorldCat Record")</f>
        <v/>
      </c>
      <c r="AU628" t="inlineStr">
        <is>
          <t>422634991:eng</t>
        </is>
      </c>
      <c r="AV628" t="inlineStr">
        <is>
          <t>253663</t>
        </is>
      </c>
      <c r="AW628" t="inlineStr">
        <is>
          <t>991001963129702656</t>
        </is>
      </c>
      <c r="AX628" t="inlineStr">
        <is>
          <t>991001963129702656</t>
        </is>
      </c>
      <c r="AY628" t="inlineStr">
        <is>
          <t>2267094510002656</t>
        </is>
      </c>
      <c r="AZ628" t="inlineStr">
        <is>
          <t>BOOK</t>
        </is>
      </c>
      <c r="BC628" t="inlineStr">
        <is>
          <t>32285003224929</t>
        </is>
      </c>
      <c r="BD628" t="inlineStr">
        <is>
          <t>893715895</t>
        </is>
      </c>
    </row>
    <row r="629">
      <c r="A629" t="inlineStr">
        <is>
          <t>No</t>
        </is>
      </c>
      <c r="B629" t="inlineStr">
        <is>
          <t>PL2658.E1 C64 1995</t>
        </is>
      </c>
      <c r="C629" t="inlineStr">
        <is>
          <t>0                      PL 2658000E  1                  C  64          1995</t>
        </is>
      </c>
      <c r="D629" t="inlineStr">
        <is>
          <t>The Columbia anthology of modern Chinese literature / Joseph S.M. Lau and Howard Goldblatt, editors.</t>
        </is>
      </c>
      <c r="F629" t="inlineStr">
        <is>
          <t>No</t>
        </is>
      </c>
      <c r="G629" t="inlineStr">
        <is>
          <t>1</t>
        </is>
      </c>
      <c r="H629" t="inlineStr">
        <is>
          <t>No</t>
        </is>
      </c>
      <c r="I629" t="inlineStr">
        <is>
          <t>No</t>
        </is>
      </c>
      <c r="J629" t="inlineStr">
        <is>
          <t>0</t>
        </is>
      </c>
      <c r="L629" t="inlineStr">
        <is>
          <t>New York : Columbia University Press, c1995.</t>
        </is>
      </c>
      <c r="M629" t="inlineStr">
        <is>
          <t>1995</t>
        </is>
      </c>
      <c r="O629" t="inlineStr">
        <is>
          <t>eng</t>
        </is>
      </c>
      <c r="P629" t="inlineStr">
        <is>
          <t>nyu</t>
        </is>
      </c>
      <c r="Q629" t="inlineStr">
        <is>
          <t>Modern Asian literature series</t>
        </is>
      </c>
      <c r="R629" t="inlineStr">
        <is>
          <t xml:space="preserve">PL </t>
        </is>
      </c>
      <c r="S629" t="n">
        <v>2</v>
      </c>
      <c r="T629" t="n">
        <v>2</v>
      </c>
      <c r="U629" t="inlineStr">
        <is>
          <t>2001-03-14</t>
        </is>
      </c>
      <c r="V629" t="inlineStr">
        <is>
          <t>2001-03-14</t>
        </is>
      </c>
      <c r="W629" t="inlineStr">
        <is>
          <t>1996-07-22</t>
        </is>
      </c>
      <c r="X629" t="inlineStr">
        <is>
          <t>1996-07-22</t>
        </is>
      </c>
      <c r="Y629" t="n">
        <v>882</v>
      </c>
      <c r="Z629" t="n">
        <v>770</v>
      </c>
      <c r="AA629" t="n">
        <v>1097</v>
      </c>
      <c r="AB629" t="n">
        <v>5</v>
      </c>
      <c r="AC629" t="n">
        <v>8</v>
      </c>
      <c r="AD629" t="n">
        <v>33</v>
      </c>
      <c r="AE629" t="n">
        <v>44</v>
      </c>
      <c r="AF629" t="n">
        <v>14</v>
      </c>
      <c r="AG629" t="n">
        <v>21</v>
      </c>
      <c r="AH629" t="n">
        <v>8</v>
      </c>
      <c r="AI629" t="n">
        <v>10</v>
      </c>
      <c r="AJ629" t="n">
        <v>17</v>
      </c>
      <c r="AK629" t="n">
        <v>18</v>
      </c>
      <c r="AL629" t="n">
        <v>3</v>
      </c>
      <c r="AM629" t="n">
        <v>6</v>
      </c>
      <c r="AN629" t="n">
        <v>0</v>
      </c>
      <c r="AO629" t="n">
        <v>0</v>
      </c>
      <c r="AP629" t="inlineStr">
        <is>
          <t>No</t>
        </is>
      </c>
      <c r="AQ629" t="inlineStr">
        <is>
          <t>No</t>
        </is>
      </c>
      <c r="AS629">
        <f>HYPERLINK("https://creighton-primo.hosted.exlibrisgroup.com/primo-explore/search?tab=default_tab&amp;search_scope=EVERYTHING&amp;vid=01CRU&amp;lang=en_US&amp;offset=0&amp;query=any,contains,991002395639702656","Catalog Record")</f>
        <v/>
      </c>
      <c r="AT629">
        <f>HYPERLINK("http://www.worldcat.org/oclc/31131948","WorldCat Record")</f>
        <v/>
      </c>
      <c r="AU629" t="inlineStr">
        <is>
          <t>350289381:eng</t>
        </is>
      </c>
      <c r="AV629" t="inlineStr">
        <is>
          <t>31131948</t>
        </is>
      </c>
      <c r="AW629" t="inlineStr">
        <is>
          <t>991002395639702656</t>
        </is>
      </c>
      <c r="AX629" t="inlineStr">
        <is>
          <t>991002395639702656</t>
        </is>
      </c>
      <c r="AY629" t="inlineStr">
        <is>
          <t>2269719250002656</t>
        </is>
      </c>
      <c r="AZ629" t="inlineStr">
        <is>
          <t>BOOK</t>
        </is>
      </c>
      <c r="BB629" t="inlineStr">
        <is>
          <t>9780231080026</t>
        </is>
      </c>
      <c r="BC629" t="inlineStr">
        <is>
          <t>32285002207438</t>
        </is>
      </c>
      <c r="BD629" t="inlineStr">
        <is>
          <t>893697717</t>
        </is>
      </c>
    </row>
    <row r="630">
      <c r="A630" t="inlineStr">
        <is>
          <t>No</t>
        </is>
      </c>
      <c r="B630" t="inlineStr">
        <is>
          <t>PL2658.E1 F577 2000</t>
        </is>
      </c>
      <c r="C630" t="inlineStr">
        <is>
          <t>0                      PL 2658000E  1                  F  577         2000</t>
        </is>
      </c>
      <c r="D630" t="inlineStr">
        <is>
          <t>Fissures : Chinese writing today / selected and edited by Henry YH Zhao, Yanbing Chen, John Rosenwald ; foreword by Breyten Breytenbach.</t>
        </is>
      </c>
      <c r="F630" t="inlineStr">
        <is>
          <t>No</t>
        </is>
      </c>
      <c r="G630" t="inlineStr">
        <is>
          <t>1</t>
        </is>
      </c>
      <c r="H630" t="inlineStr">
        <is>
          <t>No</t>
        </is>
      </c>
      <c r="I630" t="inlineStr">
        <is>
          <t>No</t>
        </is>
      </c>
      <c r="J630" t="inlineStr">
        <is>
          <t>0</t>
        </is>
      </c>
      <c r="L630" t="inlineStr">
        <is>
          <t>Brookline, MA : Zephyr Press, c2000.</t>
        </is>
      </c>
      <c r="M630" t="inlineStr">
        <is>
          <t>2000</t>
        </is>
      </c>
      <c r="N630" t="inlineStr">
        <is>
          <t>1st ed.</t>
        </is>
      </c>
      <c r="O630" t="inlineStr">
        <is>
          <t>eng</t>
        </is>
      </c>
      <c r="P630" t="inlineStr">
        <is>
          <t>mau</t>
        </is>
      </c>
      <c r="R630" t="inlineStr">
        <is>
          <t xml:space="preserve">PL </t>
        </is>
      </c>
      <c r="S630" t="n">
        <v>1</v>
      </c>
      <c r="T630" t="n">
        <v>1</v>
      </c>
      <c r="U630" t="inlineStr">
        <is>
          <t>2010-10-13</t>
        </is>
      </c>
      <c r="V630" t="inlineStr">
        <is>
          <t>2010-10-13</t>
        </is>
      </c>
      <c r="W630" t="inlineStr">
        <is>
          <t>2001-02-22</t>
        </is>
      </c>
      <c r="X630" t="inlineStr">
        <is>
          <t>2001-02-22</t>
        </is>
      </c>
      <c r="Y630" t="n">
        <v>149</v>
      </c>
      <c r="Z630" t="n">
        <v>131</v>
      </c>
      <c r="AA630" t="n">
        <v>137</v>
      </c>
      <c r="AB630" t="n">
        <v>2</v>
      </c>
      <c r="AC630" t="n">
        <v>2</v>
      </c>
      <c r="AD630" t="n">
        <v>3</v>
      </c>
      <c r="AE630" t="n">
        <v>3</v>
      </c>
      <c r="AF630" t="n">
        <v>0</v>
      </c>
      <c r="AG630" t="n">
        <v>0</v>
      </c>
      <c r="AH630" t="n">
        <v>1</v>
      </c>
      <c r="AI630" t="n">
        <v>1</v>
      </c>
      <c r="AJ630" t="n">
        <v>1</v>
      </c>
      <c r="AK630" t="n">
        <v>1</v>
      </c>
      <c r="AL630" t="n">
        <v>1</v>
      </c>
      <c r="AM630" t="n">
        <v>1</v>
      </c>
      <c r="AN630" t="n">
        <v>0</v>
      </c>
      <c r="AO630" t="n">
        <v>0</v>
      </c>
      <c r="AP630" t="inlineStr">
        <is>
          <t>No</t>
        </is>
      </c>
      <c r="AQ630" t="inlineStr">
        <is>
          <t>Yes</t>
        </is>
      </c>
      <c r="AR630">
        <f>HYPERLINK("http://catalog.hathitrust.org/Record/004134139","HathiTrust Record")</f>
        <v/>
      </c>
      <c r="AS630">
        <f>HYPERLINK("https://creighton-primo.hosted.exlibrisgroup.com/primo-explore/search?tab=default_tab&amp;search_scope=EVERYTHING&amp;vid=01CRU&amp;lang=en_US&amp;offset=0&amp;query=any,contains,991003467229702656","Catalog Record")</f>
        <v/>
      </c>
      <c r="AT630">
        <f>HYPERLINK("http://www.worldcat.org/oclc/45344290","WorldCat Record")</f>
        <v/>
      </c>
      <c r="AU630" t="inlineStr">
        <is>
          <t>993400977:eng</t>
        </is>
      </c>
      <c r="AV630" t="inlineStr">
        <is>
          <t>45344290</t>
        </is>
      </c>
      <c r="AW630" t="inlineStr">
        <is>
          <t>991003467229702656</t>
        </is>
      </c>
      <c r="AX630" t="inlineStr">
        <is>
          <t>991003467229702656</t>
        </is>
      </c>
      <c r="AY630" t="inlineStr">
        <is>
          <t>2263373140002656</t>
        </is>
      </c>
      <c r="AZ630" t="inlineStr">
        <is>
          <t>BOOK</t>
        </is>
      </c>
      <c r="BB630" t="inlineStr">
        <is>
          <t>9780939010592</t>
        </is>
      </c>
      <c r="BC630" t="inlineStr">
        <is>
          <t>32285004296793</t>
        </is>
      </c>
      <c r="BD630" t="inlineStr">
        <is>
          <t>893324094</t>
        </is>
      </c>
    </row>
    <row r="631">
      <c r="A631" t="inlineStr">
        <is>
          <t>No</t>
        </is>
      </c>
      <c r="B631" t="inlineStr">
        <is>
          <t>PL2658.E1 L55 1980</t>
        </is>
      </c>
      <c r="C631" t="inlineStr">
        <is>
          <t>0                      PL 2658000E  1                  L  55          1980</t>
        </is>
      </c>
      <c r="D631" t="inlineStr">
        <is>
          <t>Literature of the People's Republic of China / edited by Kai-yu Hsu, co-editor, Ting Wang, with the special assistance of Howard Goldblatt, Donald Gibbs, and George Cheng.</t>
        </is>
      </c>
      <c r="F631" t="inlineStr">
        <is>
          <t>No</t>
        </is>
      </c>
      <c r="G631" t="inlineStr">
        <is>
          <t>1</t>
        </is>
      </c>
      <c r="H631" t="inlineStr">
        <is>
          <t>No</t>
        </is>
      </c>
      <c r="I631" t="inlineStr">
        <is>
          <t>No</t>
        </is>
      </c>
      <c r="J631" t="inlineStr">
        <is>
          <t>0</t>
        </is>
      </c>
      <c r="L631" t="inlineStr">
        <is>
          <t>Bloomington : Indiana University Press, c1980.</t>
        </is>
      </c>
      <c r="M631" t="inlineStr">
        <is>
          <t>1980</t>
        </is>
      </c>
      <c r="O631" t="inlineStr">
        <is>
          <t>eng</t>
        </is>
      </c>
      <c r="P631" t="inlineStr">
        <is>
          <t>inu</t>
        </is>
      </c>
      <c r="Q631" t="inlineStr">
        <is>
          <t>Chinese literature in translation</t>
        </is>
      </c>
      <c r="R631" t="inlineStr">
        <is>
          <t xml:space="preserve">PL </t>
        </is>
      </c>
      <c r="S631" t="n">
        <v>9</v>
      </c>
      <c r="T631" t="n">
        <v>9</v>
      </c>
      <c r="U631" t="inlineStr">
        <is>
          <t>2001-03-14</t>
        </is>
      </c>
      <c r="V631" t="inlineStr">
        <is>
          <t>2001-03-14</t>
        </is>
      </c>
      <c r="W631" t="inlineStr">
        <is>
          <t>1993-05-05</t>
        </is>
      </c>
      <c r="X631" t="inlineStr">
        <is>
          <t>1993-05-05</t>
        </is>
      </c>
      <c r="Y631" t="n">
        <v>894</v>
      </c>
      <c r="Z631" t="n">
        <v>771</v>
      </c>
      <c r="AA631" t="n">
        <v>798</v>
      </c>
      <c r="AB631" t="n">
        <v>3</v>
      </c>
      <c r="AC631" t="n">
        <v>3</v>
      </c>
      <c r="AD631" t="n">
        <v>27</v>
      </c>
      <c r="AE631" t="n">
        <v>29</v>
      </c>
      <c r="AF631" t="n">
        <v>13</v>
      </c>
      <c r="AG631" t="n">
        <v>15</v>
      </c>
      <c r="AH631" t="n">
        <v>7</v>
      </c>
      <c r="AI631" t="n">
        <v>7</v>
      </c>
      <c r="AJ631" t="n">
        <v>13</v>
      </c>
      <c r="AK631" t="n">
        <v>13</v>
      </c>
      <c r="AL631" t="n">
        <v>2</v>
      </c>
      <c r="AM631" t="n">
        <v>2</v>
      </c>
      <c r="AN631" t="n">
        <v>0</v>
      </c>
      <c r="AO631" t="n">
        <v>0</v>
      </c>
      <c r="AP631" t="inlineStr">
        <is>
          <t>No</t>
        </is>
      </c>
      <c r="AQ631" t="inlineStr">
        <is>
          <t>Yes</t>
        </is>
      </c>
      <c r="AR631">
        <f>HYPERLINK("http://catalog.hathitrust.org/Record/000041625","HathiTrust Record")</f>
        <v/>
      </c>
      <c r="AS631">
        <f>HYPERLINK("https://creighton-primo.hosted.exlibrisgroup.com/primo-explore/search?tab=default_tab&amp;search_scope=EVERYTHING&amp;vid=01CRU&amp;lang=en_US&amp;offset=0&amp;query=any,contains,991005377499702656","Catalog Record")</f>
        <v/>
      </c>
      <c r="AT631">
        <f>HYPERLINK("http://www.worldcat.org/oclc/5220904","WorldCat Record")</f>
        <v/>
      </c>
      <c r="AU631" t="inlineStr">
        <is>
          <t>54311603:eng</t>
        </is>
      </c>
      <c r="AV631" t="inlineStr">
        <is>
          <t>5220904</t>
        </is>
      </c>
      <c r="AW631" t="inlineStr">
        <is>
          <t>991005377499702656</t>
        </is>
      </c>
      <c r="AX631" t="inlineStr">
        <is>
          <t>991005377499702656</t>
        </is>
      </c>
      <c r="AY631" t="inlineStr">
        <is>
          <t>2267479330002656</t>
        </is>
      </c>
      <c r="AZ631" t="inlineStr">
        <is>
          <t>BOOK</t>
        </is>
      </c>
      <c r="BB631" t="inlineStr">
        <is>
          <t>9780253160157</t>
        </is>
      </c>
      <c r="BC631" t="inlineStr">
        <is>
          <t>32285001672327</t>
        </is>
      </c>
      <c r="BD631" t="inlineStr">
        <is>
          <t>893242657</t>
        </is>
      </c>
    </row>
    <row r="632">
      <c r="A632" t="inlineStr">
        <is>
          <t>No</t>
        </is>
      </c>
      <c r="B632" t="inlineStr">
        <is>
          <t>PL2658.E3 A57 1992</t>
        </is>
      </c>
      <c r="C632" t="inlineStr">
        <is>
          <t>0                      PL 2658000E  3                  A  57          1992</t>
        </is>
      </c>
      <c r="D632" t="inlineStr">
        <is>
          <t>Anthology of modern Chinese poetry / edited and translated by Michelle Yeh.</t>
        </is>
      </c>
      <c r="F632" t="inlineStr">
        <is>
          <t>No</t>
        </is>
      </c>
      <c r="G632" t="inlineStr">
        <is>
          <t>1</t>
        </is>
      </c>
      <c r="H632" t="inlineStr">
        <is>
          <t>No</t>
        </is>
      </c>
      <c r="I632" t="inlineStr">
        <is>
          <t>No</t>
        </is>
      </c>
      <c r="J632" t="inlineStr">
        <is>
          <t>0</t>
        </is>
      </c>
      <c r="L632" t="inlineStr">
        <is>
          <t>New Haven : Yale University Press, c1992.</t>
        </is>
      </c>
      <c r="M632" t="inlineStr">
        <is>
          <t>1992</t>
        </is>
      </c>
      <c r="O632" t="inlineStr">
        <is>
          <t>eng</t>
        </is>
      </c>
      <c r="P632" t="inlineStr">
        <is>
          <t>ctu</t>
        </is>
      </c>
      <c r="R632" t="inlineStr">
        <is>
          <t xml:space="preserve">PL </t>
        </is>
      </c>
      <c r="S632" t="n">
        <v>5</v>
      </c>
      <c r="T632" t="n">
        <v>5</v>
      </c>
      <c r="U632" t="inlineStr">
        <is>
          <t>2001-03-14</t>
        </is>
      </c>
      <c r="V632" t="inlineStr">
        <is>
          <t>2001-03-14</t>
        </is>
      </c>
      <c r="W632" t="inlineStr">
        <is>
          <t>1998-05-07</t>
        </is>
      </c>
      <c r="X632" t="inlineStr">
        <is>
          <t>1998-05-07</t>
        </is>
      </c>
      <c r="Y632" t="n">
        <v>523</v>
      </c>
      <c r="Z632" t="n">
        <v>468</v>
      </c>
      <c r="AA632" t="n">
        <v>501</v>
      </c>
      <c r="AB632" t="n">
        <v>3</v>
      </c>
      <c r="AC632" t="n">
        <v>3</v>
      </c>
      <c r="AD632" t="n">
        <v>18</v>
      </c>
      <c r="AE632" t="n">
        <v>19</v>
      </c>
      <c r="AF632" t="n">
        <v>8</v>
      </c>
      <c r="AG632" t="n">
        <v>9</v>
      </c>
      <c r="AH632" t="n">
        <v>3</v>
      </c>
      <c r="AI632" t="n">
        <v>3</v>
      </c>
      <c r="AJ632" t="n">
        <v>8</v>
      </c>
      <c r="AK632" t="n">
        <v>8</v>
      </c>
      <c r="AL632" t="n">
        <v>2</v>
      </c>
      <c r="AM632" t="n">
        <v>2</v>
      </c>
      <c r="AN632" t="n">
        <v>0</v>
      </c>
      <c r="AO632" t="n">
        <v>0</v>
      </c>
      <c r="AP632" t="inlineStr">
        <is>
          <t>No</t>
        </is>
      </c>
      <c r="AQ632" t="inlineStr">
        <is>
          <t>No</t>
        </is>
      </c>
      <c r="AS632">
        <f>HYPERLINK("https://creighton-primo.hosted.exlibrisgroup.com/primo-explore/search?tab=default_tab&amp;search_scope=EVERYTHING&amp;vid=01CRU&amp;lang=en_US&amp;offset=0&amp;query=any,contains,991005415349702656","Catalog Record")</f>
        <v/>
      </c>
      <c r="AT632">
        <f>HYPERLINK("http://www.worldcat.org/oclc/25873155","WorldCat Record")</f>
        <v/>
      </c>
      <c r="AU632" t="inlineStr">
        <is>
          <t>55583107:eng</t>
        </is>
      </c>
      <c r="AV632" t="inlineStr">
        <is>
          <t>25873155</t>
        </is>
      </c>
      <c r="AW632" t="inlineStr">
        <is>
          <t>991005415349702656</t>
        </is>
      </c>
      <c r="AX632" t="inlineStr">
        <is>
          <t>991005415349702656</t>
        </is>
      </c>
      <c r="AY632" t="inlineStr">
        <is>
          <t>2269438340002656</t>
        </is>
      </c>
      <c r="AZ632" t="inlineStr">
        <is>
          <t>BOOK</t>
        </is>
      </c>
      <c r="BB632" t="inlineStr">
        <is>
          <t>9780300054873</t>
        </is>
      </c>
      <c r="BC632" t="inlineStr">
        <is>
          <t>32285003406856</t>
        </is>
      </c>
      <c r="BD632" t="inlineStr">
        <is>
          <t>893896426</t>
        </is>
      </c>
    </row>
    <row r="633">
      <c r="A633" t="inlineStr">
        <is>
          <t>No</t>
        </is>
      </c>
      <c r="B633" t="inlineStr">
        <is>
          <t>PL2658.E3 C59 1978</t>
        </is>
      </c>
      <c r="C633" t="inlineStr">
        <is>
          <t>0                      PL 2658000E  3                  C  59          1978</t>
        </is>
      </c>
      <c r="D633" t="inlineStr">
        <is>
          <t>The Chinese translations.</t>
        </is>
      </c>
      <c r="F633" t="inlineStr">
        <is>
          <t>No</t>
        </is>
      </c>
      <c r="G633" t="inlineStr">
        <is>
          <t>1</t>
        </is>
      </c>
      <c r="H633" t="inlineStr">
        <is>
          <t>No</t>
        </is>
      </c>
      <c r="I633" t="inlineStr">
        <is>
          <t>No</t>
        </is>
      </c>
      <c r="J633" t="inlineStr">
        <is>
          <t>0</t>
        </is>
      </c>
      <c r="L633" t="inlineStr">
        <is>
          <t>New York : Farrar, Straus, Giroux, c1978, 1982 printing.</t>
        </is>
      </c>
      <c r="M633" t="inlineStr">
        <is>
          <t>1978</t>
        </is>
      </c>
      <c r="O633" t="inlineStr">
        <is>
          <t>eng</t>
        </is>
      </c>
      <c r="P633" t="inlineStr">
        <is>
          <t>nyu</t>
        </is>
      </c>
      <c r="Q633" t="inlineStr">
        <is>
          <t>The works of Witter Bynner</t>
        </is>
      </c>
      <c r="R633" t="inlineStr">
        <is>
          <t xml:space="preserve">PL </t>
        </is>
      </c>
      <c r="S633" t="n">
        <v>4</v>
      </c>
      <c r="T633" t="n">
        <v>4</v>
      </c>
      <c r="U633" t="inlineStr">
        <is>
          <t>2005-10-25</t>
        </is>
      </c>
      <c r="V633" t="inlineStr">
        <is>
          <t>2005-10-25</t>
        </is>
      </c>
      <c r="W633" t="inlineStr">
        <is>
          <t>1993-05-05</t>
        </is>
      </c>
      <c r="X633" t="inlineStr">
        <is>
          <t>1993-05-05</t>
        </is>
      </c>
      <c r="Y633" t="n">
        <v>489</v>
      </c>
      <c r="Z633" t="n">
        <v>439</v>
      </c>
      <c r="AA633" t="n">
        <v>444</v>
      </c>
      <c r="AB633" t="n">
        <v>4</v>
      </c>
      <c r="AC633" t="n">
        <v>4</v>
      </c>
      <c r="AD633" t="n">
        <v>17</v>
      </c>
      <c r="AE633" t="n">
        <v>17</v>
      </c>
      <c r="AF633" t="n">
        <v>10</v>
      </c>
      <c r="AG633" t="n">
        <v>10</v>
      </c>
      <c r="AH633" t="n">
        <v>2</v>
      </c>
      <c r="AI633" t="n">
        <v>2</v>
      </c>
      <c r="AJ633" t="n">
        <v>8</v>
      </c>
      <c r="AK633" t="n">
        <v>8</v>
      </c>
      <c r="AL633" t="n">
        <v>2</v>
      </c>
      <c r="AM633" t="n">
        <v>2</v>
      </c>
      <c r="AN633" t="n">
        <v>0</v>
      </c>
      <c r="AO633" t="n">
        <v>0</v>
      </c>
      <c r="AP633" t="inlineStr">
        <is>
          <t>No</t>
        </is>
      </c>
      <c r="AQ633" t="inlineStr">
        <is>
          <t>No</t>
        </is>
      </c>
      <c r="AS633">
        <f>HYPERLINK("https://creighton-primo.hosted.exlibrisgroup.com/primo-explore/search?tab=default_tab&amp;search_scope=EVERYTHING&amp;vid=01CRU&amp;lang=en_US&amp;offset=0&amp;query=any,contains,991004482019702656","Catalog Record")</f>
        <v/>
      </c>
      <c r="AT633">
        <f>HYPERLINK("http://www.worldcat.org/oclc/3627796","WorldCat Record")</f>
        <v/>
      </c>
      <c r="AU633" t="inlineStr">
        <is>
          <t>3856376507:eng</t>
        </is>
      </c>
      <c r="AV633" t="inlineStr">
        <is>
          <t>3627796</t>
        </is>
      </c>
      <c r="AW633" t="inlineStr">
        <is>
          <t>991004482019702656</t>
        </is>
      </c>
      <c r="AX633" t="inlineStr">
        <is>
          <t>991004482019702656</t>
        </is>
      </c>
      <c r="AY633" t="inlineStr">
        <is>
          <t>2269246860002656</t>
        </is>
      </c>
      <c r="AZ633" t="inlineStr">
        <is>
          <t>BOOK</t>
        </is>
      </c>
      <c r="BB633" t="inlineStr">
        <is>
          <t>9780374122515</t>
        </is>
      </c>
      <c r="BC633" t="inlineStr">
        <is>
          <t>32285001672335</t>
        </is>
      </c>
      <c r="BD633" t="inlineStr">
        <is>
          <t>893706477</t>
        </is>
      </c>
    </row>
    <row r="634">
      <c r="A634" t="inlineStr">
        <is>
          <t>No</t>
        </is>
      </c>
      <c r="B634" t="inlineStr">
        <is>
          <t>PL2658.E3 G7</t>
        </is>
      </c>
      <c r="C634" t="inlineStr">
        <is>
          <t>0                      PL 2658000E  3                  G  7</t>
        </is>
      </c>
      <c r="D634" t="inlineStr">
        <is>
          <t>Poems of the late T'ang. Translated with an introd. by A.C. Graham.</t>
        </is>
      </c>
      <c r="F634" t="inlineStr">
        <is>
          <t>No</t>
        </is>
      </c>
      <c r="G634" t="inlineStr">
        <is>
          <t>1</t>
        </is>
      </c>
      <c r="H634" t="inlineStr">
        <is>
          <t>No</t>
        </is>
      </c>
      <c r="I634" t="inlineStr">
        <is>
          <t>No</t>
        </is>
      </c>
      <c r="J634" t="inlineStr">
        <is>
          <t>0</t>
        </is>
      </c>
      <c r="K634" t="inlineStr">
        <is>
          <t>Graham, A. C. (Angus Charles) editor, translator.</t>
        </is>
      </c>
      <c r="L634" t="inlineStr">
        <is>
          <t>Baltimore, Penguin Books [1965]</t>
        </is>
      </c>
      <c r="M634" t="inlineStr">
        <is>
          <t>1965</t>
        </is>
      </c>
      <c r="O634" t="inlineStr">
        <is>
          <t>eng</t>
        </is>
      </c>
      <c r="P634" t="inlineStr">
        <is>
          <t>mdu</t>
        </is>
      </c>
      <c r="Q634" t="inlineStr">
        <is>
          <t>The Penguin classics, L157</t>
        </is>
      </c>
      <c r="R634" t="inlineStr">
        <is>
          <t xml:space="preserve">PL </t>
        </is>
      </c>
      <c r="S634" t="n">
        <v>8</v>
      </c>
      <c r="T634" t="n">
        <v>8</v>
      </c>
      <c r="U634" t="inlineStr">
        <is>
          <t>2007-10-07</t>
        </is>
      </c>
      <c r="V634" t="inlineStr">
        <is>
          <t>2007-10-07</t>
        </is>
      </c>
      <c r="W634" t="inlineStr">
        <is>
          <t>1997-01-22</t>
        </is>
      </c>
      <c r="X634" t="inlineStr">
        <is>
          <t>1997-01-22</t>
        </is>
      </c>
      <c r="Y634" t="n">
        <v>421</v>
      </c>
      <c r="Z634" t="n">
        <v>376</v>
      </c>
      <c r="AA634" t="n">
        <v>588</v>
      </c>
      <c r="AB634" t="n">
        <v>3</v>
      </c>
      <c r="AC634" t="n">
        <v>4</v>
      </c>
      <c r="AD634" t="n">
        <v>17</v>
      </c>
      <c r="AE634" t="n">
        <v>23</v>
      </c>
      <c r="AF634" t="n">
        <v>5</v>
      </c>
      <c r="AG634" t="n">
        <v>7</v>
      </c>
      <c r="AH634" t="n">
        <v>3</v>
      </c>
      <c r="AI634" t="n">
        <v>4</v>
      </c>
      <c r="AJ634" t="n">
        <v>10</v>
      </c>
      <c r="AK634" t="n">
        <v>13</v>
      </c>
      <c r="AL634" t="n">
        <v>2</v>
      </c>
      <c r="AM634" t="n">
        <v>3</v>
      </c>
      <c r="AN634" t="n">
        <v>0</v>
      </c>
      <c r="AO634" t="n">
        <v>0</v>
      </c>
      <c r="AP634" t="inlineStr">
        <is>
          <t>No</t>
        </is>
      </c>
      <c r="AQ634" t="inlineStr">
        <is>
          <t>Yes</t>
        </is>
      </c>
      <c r="AR634">
        <f>HYPERLINK("http://catalog.hathitrust.org/Record/001185164","HathiTrust Record")</f>
        <v/>
      </c>
      <c r="AS634">
        <f>HYPERLINK("https://creighton-primo.hosted.exlibrisgroup.com/primo-explore/search?tab=default_tab&amp;search_scope=EVERYTHING&amp;vid=01CRU&amp;lang=en_US&amp;offset=0&amp;query=any,contains,991002388229702656","Catalog Record")</f>
        <v/>
      </c>
      <c r="AT634">
        <f>HYPERLINK("http://www.worldcat.org/oclc/331095","WorldCat Record")</f>
        <v/>
      </c>
      <c r="AU634" t="inlineStr">
        <is>
          <t>57581324:eng</t>
        </is>
      </c>
      <c r="AV634" t="inlineStr">
        <is>
          <t>331095</t>
        </is>
      </c>
      <c r="AW634" t="inlineStr">
        <is>
          <t>991002388229702656</t>
        </is>
      </c>
      <c r="AX634" t="inlineStr">
        <is>
          <t>991002388229702656</t>
        </is>
      </c>
      <c r="AY634" t="inlineStr">
        <is>
          <t>2259179190002656</t>
        </is>
      </c>
      <c r="AZ634" t="inlineStr">
        <is>
          <t>BOOK</t>
        </is>
      </c>
      <c r="BC634" t="inlineStr">
        <is>
          <t>32285002122116</t>
        </is>
      </c>
      <c r="BD634" t="inlineStr">
        <is>
          <t>893226782</t>
        </is>
      </c>
    </row>
    <row r="635">
      <c r="A635" t="inlineStr">
        <is>
          <t>No</t>
        </is>
      </c>
      <c r="B635" t="inlineStr">
        <is>
          <t>PL2658.E3 L58</t>
        </is>
      </c>
      <c r="C635" t="inlineStr">
        <is>
          <t>0                      PL 2658000E  3                  L  58</t>
        </is>
      </c>
      <c r="D635" t="inlineStr">
        <is>
          <t>One hundred and one Chinese poems : [Chung shih hsüan chi] / with English translations and pref. by Shih Shun Liu. Introductory by Edmund ith English translations and pref. by Shih Shun Liu. Introductory by Edmund Blunden. Foreword by John Cairncross. With 7 additional translations.</t>
        </is>
      </c>
      <c r="F635" t="inlineStr">
        <is>
          <t>No</t>
        </is>
      </c>
      <c r="G635" t="inlineStr">
        <is>
          <t>1</t>
        </is>
      </c>
      <c r="H635" t="inlineStr">
        <is>
          <t>No</t>
        </is>
      </c>
      <c r="I635" t="inlineStr">
        <is>
          <t>No</t>
        </is>
      </c>
      <c r="J635" t="inlineStr">
        <is>
          <t>0</t>
        </is>
      </c>
      <c r="K635" t="inlineStr">
        <is>
          <t>Liu, Shih Shun, 1900-</t>
        </is>
      </c>
      <c r="L635" t="inlineStr">
        <is>
          <t>[London : Oxford University Press, exclusive agents, 1967]</t>
        </is>
      </c>
      <c r="M635" t="inlineStr">
        <is>
          <t>1967</t>
        </is>
      </c>
      <c r="O635" t="inlineStr">
        <is>
          <t>eng</t>
        </is>
      </c>
      <c r="P635" t="inlineStr">
        <is>
          <t>enk</t>
        </is>
      </c>
      <c r="Q635" t="inlineStr">
        <is>
          <t>UNESCO collection of representative works. Chinese series</t>
        </is>
      </c>
      <c r="R635" t="inlineStr">
        <is>
          <t xml:space="preserve">PL </t>
        </is>
      </c>
      <c r="S635" t="n">
        <v>12</v>
      </c>
      <c r="T635" t="n">
        <v>12</v>
      </c>
      <c r="U635" t="inlineStr">
        <is>
          <t>2007-10-07</t>
        </is>
      </c>
      <c r="V635" t="inlineStr">
        <is>
          <t>2007-10-07</t>
        </is>
      </c>
      <c r="W635" t="inlineStr">
        <is>
          <t>1994-03-16</t>
        </is>
      </c>
      <c r="X635" t="inlineStr">
        <is>
          <t>1994-03-16</t>
        </is>
      </c>
      <c r="Y635" t="n">
        <v>198</v>
      </c>
      <c r="Z635" t="n">
        <v>176</v>
      </c>
      <c r="AA635" t="n">
        <v>178</v>
      </c>
      <c r="AB635" t="n">
        <v>1</v>
      </c>
      <c r="AC635" t="n">
        <v>1</v>
      </c>
      <c r="AD635" t="n">
        <v>6</v>
      </c>
      <c r="AE635" t="n">
        <v>6</v>
      </c>
      <c r="AF635" t="n">
        <v>1</v>
      </c>
      <c r="AG635" t="n">
        <v>1</v>
      </c>
      <c r="AH635" t="n">
        <v>2</v>
      </c>
      <c r="AI635" t="n">
        <v>2</v>
      </c>
      <c r="AJ635" t="n">
        <v>4</v>
      </c>
      <c r="AK635" t="n">
        <v>4</v>
      </c>
      <c r="AL635" t="n">
        <v>0</v>
      </c>
      <c r="AM635" t="n">
        <v>0</v>
      </c>
      <c r="AN635" t="n">
        <v>0</v>
      </c>
      <c r="AO635" t="n">
        <v>0</v>
      </c>
      <c r="AP635" t="inlineStr">
        <is>
          <t>No</t>
        </is>
      </c>
      <c r="AQ635" t="inlineStr">
        <is>
          <t>Yes</t>
        </is>
      </c>
      <c r="AR635">
        <f>HYPERLINK("http://catalog.hathitrust.org/Record/000900557","HathiTrust Record")</f>
        <v/>
      </c>
      <c r="AS635">
        <f>HYPERLINK("https://creighton-primo.hosted.exlibrisgroup.com/primo-explore/search?tab=default_tab&amp;search_scope=EVERYTHING&amp;vid=01CRU&amp;lang=en_US&amp;offset=0&amp;query=any,contains,991005369959702656","Catalog Record")</f>
        <v/>
      </c>
      <c r="AT635">
        <f>HYPERLINK("http://www.worldcat.org/oclc/2616228","WorldCat Record")</f>
        <v/>
      </c>
      <c r="AU635" t="inlineStr">
        <is>
          <t>10226922377:eng</t>
        </is>
      </c>
      <c r="AV635" t="inlineStr">
        <is>
          <t>2616228</t>
        </is>
      </c>
      <c r="AW635" t="inlineStr">
        <is>
          <t>991005369959702656</t>
        </is>
      </c>
      <c r="AX635" t="inlineStr">
        <is>
          <t>991005369959702656</t>
        </is>
      </c>
      <c r="AY635" t="inlineStr">
        <is>
          <t>2265039230002656</t>
        </is>
      </c>
      <c r="AZ635" t="inlineStr">
        <is>
          <t>BOOK</t>
        </is>
      </c>
      <c r="BC635" t="inlineStr">
        <is>
          <t>32285001853661</t>
        </is>
      </c>
      <c r="BD635" t="inlineStr">
        <is>
          <t>893789906</t>
        </is>
      </c>
    </row>
    <row r="636">
      <c r="A636" t="inlineStr">
        <is>
          <t>No</t>
        </is>
      </c>
      <c r="B636" t="inlineStr">
        <is>
          <t>PL2658.E3 N46 2003</t>
        </is>
      </c>
      <c r="C636" t="inlineStr">
        <is>
          <t>0                      PL 2658000E  3                  N  46          2003</t>
        </is>
      </c>
      <c r="D636" t="inlineStr">
        <is>
          <t>The New Directions anthology of classical Chinese poetry / edited by Eliot Weinberger ; translations by William Carlos Williams ... [et al.].</t>
        </is>
      </c>
      <c r="F636" t="inlineStr">
        <is>
          <t>No</t>
        </is>
      </c>
      <c r="G636" t="inlineStr">
        <is>
          <t>1</t>
        </is>
      </c>
      <c r="H636" t="inlineStr">
        <is>
          <t>No</t>
        </is>
      </c>
      <c r="I636" t="inlineStr">
        <is>
          <t>No</t>
        </is>
      </c>
      <c r="J636" t="inlineStr">
        <is>
          <t>0</t>
        </is>
      </c>
      <c r="L636" t="inlineStr">
        <is>
          <t>New York, NY : New Directions Pub. Corp., c2003.</t>
        </is>
      </c>
      <c r="M636" t="inlineStr">
        <is>
          <t>2003</t>
        </is>
      </c>
      <c r="O636" t="inlineStr">
        <is>
          <t>eng</t>
        </is>
      </c>
      <c r="P636" t="inlineStr">
        <is>
          <t>nyu</t>
        </is>
      </c>
      <c r="R636" t="inlineStr">
        <is>
          <t xml:space="preserve">PL </t>
        </is>
      </c>
      <c r="S636" t="n">
        <v>1</v>
      </c>
      <c r="T636" t="n">
        <v>1</v>
      </c>
      <c r="U636" t="inlineStr">
        <is>
          <t>2003-11-04</t>
        </is>
      </c>
      <c r="V636" t="inlineStr">
        <is>
          <t>2003-11-04</t>
        </is>
      </c>
      <c r="W636" t="inlineStr">
        <is>
          <t>2003-09-30</t>
        </is>
      </c>
      <c r="X636" t="inlineStr">
        <is>
          <t>2003-09-30</t>
        </is>
      </c>
      <c r="Y636" t="n">
        <v>337</v>
      </c>
      <c r="Z636" t="n">
        <v>286</v>
      </c>
      <c r="AA636" t="n">
        <v>323</v>
      </c>
      <c r="AB636" t="n">
        <v>1</v>
      </c>
      <c r="AC636" t="n">
        <v>1</v>
      </c>
      <c r="AD636" t="n">
        <v>14</v>
      </c>
      <c r="AE636" t="n">
        <v>16</v>
      </c>
      <c r="AF636" t="n">
        <v>8</v>
      </c>
      <c r="AG636" t="n">
        <v>8</v>
      </c>
      <c r="AH636" t="n">
        <v>4</v>
      </c>
      <c r="AI636" t="n">
        <v>4</v>
      </c>
      <c r="AJ636" t="n">
        <v>8</v>
      </c>
      <c r="AK636" t="n">
        <v>10</v>
      </c>
      <c r="AL636" t="n">
        <v>0</v>
      </c>
      <c r="AM636" t="n">
        <v>0</v>
      </c>
      <c r="AN636" t="n">
        <v>0</v>
      </c>
      <c r="AO636" t="n">
        <v>0</v>
      </c>
      <c r="AP636" t="inlineStr">
        <is>
          <t>No</t>
        </is>
      </c>
      <c r="AQ636" t="inlineStr">
        <is>
          <t>Yes</t>
        </is>
      </c>
      <c r="AR636">
        <f>HYPERLINK("http://catalog.hathitrust.org/Record/004322295","HathiTrust Record")</f>
        <v/>
      </c>
      <c r="AS636">
        <f>HYPERLINK("https://creighton-primo.hosted.exlibrisgroup.com/primo-explore/search?tab=default_tab&amp;search_scope=EVERYTHING&amp;vid=01CRU&amp;lang=en_US&amp;offset=0&amp;query=any,contains,991004143769702656","Catalog Record")</f>
        <v/>
      </c>
      <c r="AT636">
        <f>HYPERLINK("http://www.worldcat.org/oclc/52312508","WorldCat Record")</f>
        <v/>
      </c>
      <c r="AU636" t="inlineStr">
        <is>
          <t>375473382:eng</t>
        </is>
      </c>
      <c r="AV636" t="inlineStr">
        <is>
          <t>52312508</t>
        </is>
      </c>
      <c r="AW636" t="inlineStr">
        <is>
          <t>991004143769702656</t>
        </is>
      </c>
      <c r="AX636" t="inlineStr">
        <is>
          <t>991004143769702656</t>
        </is>
      </c>
      <c r="AY636" t="inlineStr">
        <is>
          <t>2256211410002656</t>
        </is>
      </c>
      <c r="AZ636" t="inlineStr">
        <is>
          <t>BOOK</t>
        </is>
      </c>
      <c r="BB636" t="inlineStr">
        <is>
          <t>9780811215404</t>
        </is>
      </c>
      <c r="BC636" t="inlineStr">
        <is>
          <t>32285004792734</t>
        </is>
      </c>
      <c r="BD636" t="inlineStr">
        <is>
          <t>893525706</t>
        </is>
      </c>
    </row>
    <row r="637">
      <c r="A637" t="inlineStr">
        <is>
          <t>No</t>
        </is>
      </c>
      <c r="B637" t="inlineStr">
        <is>
          <t>PL2658.E3 P634 2003</t>
        </is>
      </c>
      <c r="C637" t="inlineStr">
        <is>
          <t>0                      PL 2658000E  3                  P  634         2003</t>
        </is>
      </c>
      <c r="D637" t="inlineStr">
        <is>
          <t>Poems of the masters = Qian jia shi : China's classic anthology of T'ang and Sung dynasty verse / translated by Red Pine.</t>
        </is>
      </c>
      <c r="F637" t="inlineStr">
        <is>
          <t>No</t>
        </is>
      </c>
      <c r="G637" t="inlineStr">
        <is>
          <t>1</t>
        </is>
      </c>
      <c r="H637" t="inlineStr">
        <is>
          <t>No</t>
        </is>
      </c>
      <c r="I637" t="inlineStr">
        <is>
          <t>No</t>
        </is>
      </c>
      <c r="J637" t="inlineStr">
        <is>
          <t>0</t>
        </is>
      </c>
      <c r="K637" t="inlineStr">
        <is>
          <t>Qian jia shi. English &amp; Chinese.</t>
        </is>
      </c>
      <c r="L637" t="inlineStr">
        <is>
          <t>Port Townsend, Wash. : Copper Canyon Press, c2003.</t>
        </is>
      </c>
      <c r="M637" t="inlineStr">
        <is>
          <t>2003</t>
        </is>
      </c>
      <c r="O637" t="inlineStr">
        <is>
          <t>eng</t>
        </is>
      </c>
      <c r="P637" t="inlineStr">
        <is>
          <t>wau</t>
        </is>
      </c>
      <c r="R637" t="inlineStr">
        <is>
          <t xml:space="preserve">PL </t>
        </is>
      </c>
      <c r="S637" t="n">
        <v>3</v>
      </c>
      <c r="T637" t="n">
        <v>3</v>
      </c>
      <c r="U637" t="inlineStr">
        <is>
          <t>2004-12-22</t>
        </is>
      </c>
      <c r="V637" t="inlineStr">
        <is>
          <t>2004-12-22</t>
        </is>
      </c>
      <c r="W637" t="inlineStr">
        <is>
          <t>2004-11-22</t>
        </is>
      </c>
      <c r="X637" t="inlineStr">
        <is>
          <t>2004-11-22</t>
        </is>
      </c>
      <c r="Y637" t="n">
        <v>601</v>
      </c>
      <c r="Z637" t="n">
        <v>568</v>
      </c>
      <c r="AA637" t="n">
        <v>596</v>
      </c>
      <c r="AB637" t="n">
        <v>2</v>
      </c>
      <c r="AC637" t="n">
        <v>2</v>
      </c>
      <c r="AD637" t="n">
        <v>25</v>
      </c>
      <c r="AE637" t="n">
        <v>27</v>
      </c>
      <c r="AF637" t="n">
        <v>12</v>
      </c>
      <c r="AG637" t="n">
        <v>12</v>
      </c>
      <c r="AH637" t="n">
        <v>7</v>
      </c>
      <c r="AI637" t="n">
        <v>8</v>
      </c>
      <c r="AJ637" t="n">
        <v>11</v>
      </c>
      <c r="AK637" t="n">
        <v>13</v>
      </c>
      <c r="AL637" t="n">
        <v>1</v>
      </c>
      <c r="AM637" t="n">
        <v>1</v>
      </c>
      <c r="AN637" t="n">
        <v>0</v>
      </c>
      <c r="AO637" t="n">
        <v>0</v>
      </c>
      <c r="AP637" t="inlineStr">
        <is>
          <t>No</t>
        </is>
      </c>
      <c r="AQ637" t="inlineStr">
        <is>
          <t>Yes</t>
        </is>
      </c>
      <c r="AR637">
        <f>HYPERLINK("http://catalog.hathitrust.org/Record/004343816","HathiTrust Record")</f>
        <v/>
      </c>
      <c r="AS637">
        <f>HYPERLINK("https://creighton-primo.hosted.exlibrisgroup.com/primo-explore/search?tab=default_tab&amp;search_scope=EVERYTHING&amp;vid=01CRU&amp;lang=en_US&amp;offset=0&amp;query=any,contains,991004405899702656","Catalog Record")</f>
        <v/>
      </c>
      <c r="AT637">
        <f>HYPERLINK("http://www.worldcat.org/oclc/51799655","WorldCat Record")</f>
        <v/>
      </c>
      <c r="AU637" t="inlineStr">
        <is>
          <t>906432956:eng</t>
        </is>
      </c>
      <c r="AV637" t="inlineStr">
        <is>
          <t>51799655</t>
        </is>
      </c>
      <c r="AW637" t="inlineStr">
        <is>
          <t>991004405899702656</t>
        </is>
      </c>
      <c r="AX637" t="inlineStr">
        <is>
          <t>991004405899702656</t>
        </is>
      </c>
      <c r="AY637" t="inlineStr">
        <is>
          <t>2270958620002656</t>
        </is>
      </c>
      <c r="AZ637" t="inlineStr">
        <is>
          <t>BOOK</t>
        </is>
      </c>
      <c r="BB637" t="inlineStr">
        <is>
          <t>9781556591952</t>
        </is>
      </c>
      <c r="BC637" t="inlineStr">
        <is>
          <t>32285005012355</t>
        </is>
      </c>
      <c r="BD637" t="inlineStr">
        <is>
          <t>893876072</t>
        </is>
      </c>
    </row>
    <row r="638">
      <c r="A638" t="inlineStr">
        <is>
          <t>No</t>
        </is>
      </c>
      <c r="B638" t="inlineStr">
        <is>
          <t>PL2658.E3 S43 2006</t>
        </is>
      </c>
      <c r="C638" t="inlineStr">
        <is>
          <t>0                      PL 2658000E  3                  S  43          2006</t>
        </is>
      </c>
      <c r="D638" t="inlineStr">
        <is>
          <t>The Shambhala anthology of Chinese poetry / translated and edited by J.P. Seaton ; with additional translations by James Cryer.</t>
        </is>
      </c>
      <c r="F638" t="inlineStr">
        <is>
          <t>No</t>
        </is>
      </c>
      <c r="G638" t="inlineStr">
        <is>
          <t>1</t>
        </is>
      </c>
      <c r="H638" t="inlineStr">
        <is>
          <t>No</t>
        </is>
      </c>
      <c r="I638" t="inlineStr">
        <is>
          <t>No</t>
        </is>
      </c>
      <c r="J638" t="inlineStr">
        <is>
          <t>0</t>
        </is>
      </c>
      <c r="L638" t="inlineStr">
        <is>
          <t>Boston : Shambhala, 2006.</t>
        </is>
      </c>
      <c r="M638" t="inlineStr">
        <is>
          <t>2006</t>
        </is>
      </c>
      <c r="N638" t="inlineStr">
        <is>
          <t>1st ed.</t>
        </is>
      </c>
      <c r="O638" t="inlineStr">
        <is>
          <t>eng</t>
        </is>
      </c>
      <c r="P638" t="inlineStr">
        <is>
          <t>mau</t>
        </is>
      </c>
      <c r="R638" t="inlineStr">
        <is>
          <t xml:space="preserve">PL </t>
        </is>
      </c>
      <c r="S638" t="n">
        <v>1</v>
      </c>
      <c r="T638" t="n">
        <v>1</v>
      </c>
      <c r="U638" t="inlineStr">
        <is>
          <t>2006-09-07</t>
        </is>
      </c>
      <c r="V638" t="inlineStr">
        <is>
          <t>2006-09-07</t>
        </is>
      </c>
      <c r="W638" t="inlineStr">
        <is>
          <t>2006-09-07</t>
        </is>
      </c>
      <c r="X638" t="inlineStr">
        <is>
          <t>2006-09-07</t>
        </is>
      </c>
      <c r="Y638" t="n">
        <v>589</v>
      </c>
      <c r="Z638" t="n">
        <v>542</v>
      </c>
      <c r="AA638" t="n">
        <v>564</v>
      </c>
      <c r="AB638" t="n">
        <v>3</v>
      </c>
      <c r="AC638" t="n">
        <v>3</v>
      </c>
      <c r="AD638" t="n">
        <v>10</v>
      </c>
      <c r="AE638" t="n">
        <v>10</v>
      </c>
      <c r="AF638" t="n">
        <v>4</v>
      </c>
      <c r="AG638" t="n">
        <v>4</v>
      </c>
      <c r="AH638" t="n">
        <v>3</v>
      </c>
      <c r="AI638" t="n">
        <v>3</v>
      </c>
      <c r="AJ638" t="n">
        <v>5</v>
      </c>
      <c r="AK638" t="n">
        <v>5</v>
      </c>
      <c r="AL638" t="n">
        <v>2</v>
      </c>
      <c r="AM638" t="n">
        <v>2</v>
      </c>
      <c r="AN638" t="n">
        <v>0</v>
      </c>
      <c r="AO638" t="n">
        <v>0</v>
      </c>
      <c r="AP638" t="inlineStr">
        <is>
          <t>No</t>
        </is>
      </c>
      <c r="AQ638" t="inlineStr">
        <is>
          <t>Yes</t>
        </is>
      </c>
      <c r="AR638">
        <f>HYPERLINK("http://catalog.hathitrust.org/Record/005293457","HathiTrust Record")</f>
        <v/>
      </c>
      <c r="AS638">
        <f>HYPERLINK("https://creighton-primo.hosted.exlibrisgroup.com/primo-explore/search?tab=default_tab&amp;search_scope=EVERYTHING&amp;vid=01CRU&amp;lang=en_US&amp;offset=0&amp;query=any,contains,991004904909702656","Catalog Record")</f>
        <v/>
      </c>
      <c r="AT638">
        <f>HYPERLINK("http://www.worldcat.org/oclc/62872788","WorldCat Record")</f>
        <v/>
      </c>
      <c r="AU638" t="inlineStr">
        <is>
          <t>47126736:eng</t>
        </is>
      </c>
      <c r="AV638" t="inlineStr">
        <is>
          <t>62872788</t>
        </is>
      </c>
      <c r="AW638" t="inlineStr">
        <is>
          <t>991004904909702656</t>
        </is>
      </c>
      <c r="AX638" t="inlineStr">
        <is>
          <t>991004904909702656</t>
        </is>
      </c>
      <c r="AY638" t="inlineStr">
        <is>
          <t>2262319550002656</t>
        </is>
      </c>
      <c r="AZ638" t="inlineStr">
        <is>
          <t>BOOK</t>
        </is>
      </c>
      <c r="BB638" t="inlineStr">
        <is>
          <t>9781570628627</t>
        </is>
      </c>
      <c r="BC638" t="inlineStr">
        <is>
          <t>32285005222194</t>
        </is>
      </c>
      <c r="BD638" t="inlineStr">
        <is>
          <t>893430595</t>
        </is>
      </c>
    </row>
    <row r="639">
      <c r="A639" t="inlineStr">
        <is>
          <t>No</t>
        </is>
      </c>
      <c r="B639" t="inlineStr">
        <is>
          <t>PL2658.E3 S665 1994</t>
        </is>
      </c>
      <c r="C639" t="inlineStr">
        <is>
          <t>0                      PL 2658000E  3                  S  665         1994</t>
        </is>
      </c>
      <c r="D639" t="inlineStr">
        <is>
          <t>Songs of the immortals : an anthology of classical Chinese poetry / translated and versified by Xu Yuan Zhong.</t>
        </is>
      </c>
      <c r="F639" t="inlineStr">
        <is>
          <t>No</t>
        </is>
      </c>
      <c r="G639" t="inlineStr">
        <is>
          <t>1</t>
        </is>
      </c>
      <c r="H639" t="inlineStr">
        <is>
          <t>No</t>
        </is>
      </c>
      <c r="I639" t="inlineStr">
        <is>
          <t>No</t>
        </is>
      </c>
      <c r="J639" t="inlineStr">
        <is>
          <t>0</t>
        </is>
      </c>
      <c r="L639" t="inlineStr">
        <is>
          <t>London ; New York : Penguin Books, 1994.</t>
        </is>
      </c>
      <c r="M639" t="inlineStr">
        <is>
          <t>1994</t>
        </is>
      </c>
      <c r="O639" t="inlineStr">
        <is>
          <t>eng</t>
        </is>
      </c>
      <c r="P639" t="inlineStr">
        <is>
          <t>enk</t>
        </is>
      </c>
      <c r="Q639" t="inlineStr">
        <is>
          <t>Penguin poetry</t>
        </is>
      </c>
      <c r="R639" t="inlineStr">
        <is>
          <t xml:space="preserve">PL </t>
        </is>
      </c>
      <c r="S639" t="n">
        <v>4</v>
      </c>
      <c r="T639" t="n">
        <v>4</v>
      </c>
      <c r="U639" t="inlineStr">
        <is>
          <t>2010-12-16</t>
        </is>
      </c>
      <c r="V639" t="inlineStr">
        <is>
          <t>2010-12-16</t>
        </is>
      </c>
      <c r="W639" t="inlineStr">
        <is>
          <t>1996-03-11</t>
        </is>
      </c>
      <c r="X639" t="inlineStr">
        <is>
          <t>1996-03-11</t>
        </is>
      </c>
      <c r="Y639" t="n">
        <v>172</v>
      </c>
      <c r="Z639" t="n">
        <v>128</v>
      </c>
      <c r="AA639" t="n">
        <v>156</v>
      </c>
      <c r="AB639" t="n">
        <v>1</v>
      </c>
      <c r="AC639" t="n">
        <v>1</v>
      </c>
      <c r="AD639" t="n">
        <v>4</v>
      </c>
      <c r="AE639" t="n">
        <v>5</v>
      </c>
      <c r="AF639" t="n">
        <v>2</v>
      </c>
      <c r="AG639" t="n">
        <v>3</v>
      </c>
      <c r="AH639" t="n">
        <v>2</v>
      </c>
      <c r="AI639" t="n">
        <v>2</v>
      </c>
      <c r="AJ639" t="n">
        <v>1</v>
      </c>
      <c r="AK639" t="n">
        <v>2</v>
      </c>
      <c r="AL639" t="n">
        <v>0</v>
      </c>
      <c r="AM639" t="n">
        <v>0</v>
      </c>
      <c r="AN639" t="n">
        <v>0</v>
      </c>
      <c r="AO639" t="n">
        <v>0</v>
      </c>
      <c r="AP639" t="inlineStr">
        <is>
          <t>No</t>
        </is>
      </c>
      <c r="AQ639" t="inlineStr">
        <is>
          <t>Yes</t>
        </is>
      </c>
      <c r="AR639">
        <f>HYPERLINK("http://catalog.hathitrust.org/Record/002970103","HathiTrust Record")</f>
        <v/>
      </c>
      <c r="AS639">
        <f>HYPERLINK("https://creighton-primo.hosted.exlibrisgroup.com/primo-explore/search?tab=default_tab&amp;search_scope=EVERYTHING&amp;vid=01CRU&amp;lang=en_US&amp;offset=0&amp;query=any,contains,991002432849702656","Catalog Record")</f>
        <v/>
      </c>
      <c r="AT639">
        <f>HYPERLINK("http://www.worldcat.org/oclc/31716717","WorldCat Record")</f>
        <v/>
      </c>
      <c r="AU639" t="inlineStr">
        <is>
          <t>37964312:eng</t>
        </is>
      </c>
      <c r="AV639" t="inlineStr">
        <is>
          <t>31716717</t>
        </is>
      </c>
      <c r="AW639" t="inlineStr">
        <is>
          <t>991002432849702656</t>
        </is>
      </c>
      <c r="AX639" t="inlineStr">
        <is>
          <t>991002432849702656</t>
        </is>
      </c>
      <c r="AY639" t="inlineStr">
        <is>
          <t>2258125580002656</t>
        </is>
      </c>
      <c r="AZ639" t="inlineStr">
        <is>
          <t>BOOK</t>
        </is>
      </c>
      <c r="BB639" t="inlineStr">
        <is>
          <t>9780140586855</t>
        </is>
      </c>
      <c r="BC639" t="inlineStr">
        <is>
          <t>32285002141306</t>
        </is>
      </c>
      <c r="BD639" t="inlineStr">
        <is>
          <t>893498107</t>
        </is>
      </c>
    </row>
    <row r="640">
      <c r="A640" t="inlineStr">
        <is>
          <t>No</t>
        </is>
      </c>
      <c r="B640" t="inlineStr">
        <is>
          <t>PL2658.E3 S8 1929</t>
        </is>
      </c>
      <c r="C640" t="inlineStr">
        <is>
          <t>0                      PL 2658000E  3                  S  8           1929</t>
        </is>
      </c>
      <c r="D640" t="inlineStr">
        <is>
          <t>The jade mountain : a Chinese anthology, being Three hundred poems of the T'ang dynasty, 618-906 / translated by Witter Bynner from the texts of Kiang Kang-hu.</t>
        </is>
      </c>
      <c r="F640" t="inlineStr">
        <is>
          <t>No</t>
        </is>
      </c>
      <c r="G640" t="inlineStr">
        <is>
          <t>1</t>
        </is>
      </c>
      <c r="H640" t="inlineStr">
        <is>
          <t>No</t>
        </is>
      </c>
      <c r="I640" t="inlineStr">
        <is>
          <t>No</t>
        </is>
      </c>
      <c r="J640" t="inlineStr">
        <is>
          <t>0</t>
        </is>
      </c>
      <c r="K640" t="inlineStr">
        <is>
          <t>Hengtangtuishi, 1711-1778.</t>
        </is>
      </c>
      <c r="L640" t="inlineStr">
        <is>
          <t>New York : Knopf, 1929.</t>
        </is>
      </c>
      <c r="M640" t="inlineStr">
        <is>
          <t>1929</t>
        </is>
      </c>
      <c r="O640" t="inlineStr">
        <is>
          <t>eng</t>
        </is>
      </c>
      <c r="P640" t="inlineStr">
        <is>
          <t>nyu</t>
        </is>
      </c>
      <c r="R640" t="inlineStr">
        <is>
          <t xml:space="preserve">PL </t>
        </is>
      </c>
      <c r="S640" t="n">
        <v>1</v>
      </c>
      <c r="T640" t="n">
        <v>1</v>
      </c>
      <c r="U640" t="inlineStr">
        <is>
          <t>2002-11-24</t>
        </is>
      </c>
      <c r="V640" t="inlineStr">
        <is>
          <t>2002-11-24</t>
        </is>
      </c>
      <c r="W640" t="inlineStr">
        <is>
          <t>1997-09-17</t>
        </is>
      </c>
      <c r="X640" t="inlineStr">
        <is>
          <t>1997-09-17</t>
        </is>
      </c>
      <c r="Y640" t="n">
        <v>385</v>
      </c>
      <c r="Z640" t="n">
        <v>363</v>
      </c>
      <c r="AA640" t="n">
        <v>778</v>
      </c>
      <c r="AB640" t="n">
        <v>5</v>
      </c>
      <c r="AC640" t="n">
        <v>6</v>
      </c>
      <c r="AD640" t="n">
        <v>13</v>
      </c>
      <c r="AE640" t="n">
        <v>29</v>
      </c>
      <c r="AF640" t="n">
        <v>3</v>
      </c>
      <c r="AG640" t="n">
        <v>9</v>
      </c>
      <c r="AH640" t="n">
        <v>3</v>
      </c>
      <c r="AI640" t="n">
        <v>7</v>
      </c>
      <c r="AJ640" t="n">
        <v>8</v>
      </c>
      <c r="AK640" t="n">
        <v>16</v>
      </c>
      <c r="AL640" t="n">
        <v>3</v>
      </c>
      <c r="AM640" t="n">
        <v>4</v>
      </c>
      <c r="AN640" t="n">
        <v>0</v>
      </c>
      <c r="AO640" t="n">
        <v>0</v>
      </c>
      <c r="AP640" t="inlineStr">
        <is>
          <t>No</t>
        </is>
      </c>
      <c r="AQ640" t="inlineStr">
        <is>
          <t>Yes</t>
        </is>
      </c>
      <c r="AR640">
        <f>HYPERLINK("http://catalog.hathitrust.org/Record/001185153","HathiTrust Record")</f>
        <v/>
      </c>
      <c r="AS640">
        <f>HYPERLINK("https://creighton-primo.hosted.exlibrisgroup.com/primo-explore/search?tab=default_tab&amp;search_scope=EVERYTHING&amp;vid=01CRU&amp;lang=en_US&amp;offset=0&amp;query=any,contains,991000899299702656","Catalog Record")</f>
        <v/>
      </c>
      <c r="AT640">
        <f>HYPERLINK("http://www.worldcat.org/oclc/14012348","WorldCat Record")</f>
        <v/>
      </c>
      <c r="AU640" t="inlineStr">
        <is>
          <t>4095487882:eng</t>
        </is>
      </c>
      <c r="AV640" t="inlineStr">
        <is>
          <t>14012348</t>
        </is>
      </c>
      <c r="AW640" t="inlineStr">
        <is>
          <t>991000899299702656</t>
        </is>
      </c>
      <c r="AX640" t="inlineStr">
        <is>
          <t>991000899299702656</t>
        </is>
      </c>
      <c r="AY640" t="inlineStr">
        <is>
          <t>2258500990002656</t>
        </is>
      </c>
      <c r="AZ640" t="inlineStr">
        <is>
          <t>BOOK</t>
        </is>
      </c>
      <c r="BC640" t="inlineStr">
        <is>
          <t>32285003224960</t>
        </is>
      </c>
      <c r="BD640" t="inlineStr">
        <is>
          <t>893702540</t>
        </is>
      </c>
    </row>
    <row r="641">
      <c r="A641" t="inlineStr">
        <is>
          <t>No</t>
        </is>
      </c>
      <c r="B641" t="inlineStr">
        <is>
          <t>PL2658.E3 T74 1960</t>
        </is>
      </c>
      <c r="C641" t="inlineStr">
        <is>
          <t>0                      PL 2658000E  3                  T  74          1960</t>
        </is>
      </c>
      <c r="D641" t="inlineStr">
        <is>
          <t>The Jade flute : Chinese poems in prose.</t>
        </is>
      </c>
      <c r="F641" t="inlineStr">
        <is>
          <t>No</t>
        </is>
      </c>
      <c r="G641" t="inlineStr">
        <is>
          <t>1</t>
        </is>
      </c>
      <c r="H641" t="inlineStr">
        <is>
          <t>No</t>
        </is>
      </c>
      <c r="I641" t="inlineStr">
        <is>
          <t>No</t>
        </is>
      </c>
      <c r="J641" t="inlineStr">
        <is>
          <t>0</t>
        </is>
      </c>
      <c r="L641" t="inlineStr">
        <is>
          <t>Mount Vernon, N.Y. : Peter Pauper Press, 1960.</t>
        </is>
      </c>
      <c r="M641" t="inlineStr">
        <is>
          <t>1960</t>
        </is>
      </c>
      <c r="O641" t="inlineStr">
        <is>
          <t>eng</t>
        </is>
      </c>
      <c r="P641" t="inlineStr">
        <is>
          <t>nyu</t>
        </is>
      </c>
      <c r="R641" t="inlineStr">
        <is>
          <t xml:space="preserve">PL </t>
        </is>
      </c>
      <c r="S641" t="n">
        <v>1</v>
      </c>
      <c r="T641" t="n">
        <v>1</v>
      </c>
      <c r="U641" t="inlineStr">
        <is>
          <t>2007-04-19</t>
        </is>
      </c>
      <c r="V641" t="inlineStr">
        <is>
          <t>2007-04-19</t>
        </is>
      </c>
      <c r="W641" t="inlineStr">
        <is>
          <t>2007-04-19</t>
        </is>
      </c>
      <c r="X641" t="inlineStr">
        <is>
          <t>2007-04-19</t>
        </is>
      </c>
      <c r="Y641" t="n">
        <v>247</v>
      </c>
      <c r="Z641" t="n">
        <v>229</v>
      </c>
      <c r="AA641" t="n">
        <v>236</v>
      </c>
      <c r="AB641" t="n">
        <v>3</v>
      </c>
      <c r="AC641" t="n">
        <v>3</v>
      </c>
      <c r="AD641" t="n">
        <v>9</v>
      </c>
      <c r="AE641" t="n">
        <v>9</v>
      </c>
      <c r="AF641" t="n">
        <v>3</v>
      </c>
      <c r="AG641" t="n">
        <v>3</v>
      </c>
      <c r="AH641" t="n">
        <v>3</v>
      </c>
      <c r="AI641" t="n">
        <v>3</v>
      </c>
      <c r="AJ641" t="n">
        <v>4</v>
      </c>
      <c r="AK641" t="n">
        <v>4</v>
      </c>
      <c r="AL641" t="n">
        <v>1</v>
      </c>
      <c r="AM641" t="n">
        <v>1</v>
      </c>
      <c r="AN641" t="n">
        <v>0</v>
      </c>
      <c r="AO641" t="n">
        <v>0</v>
      </c>
      <c r="AP641" t="inlineStr">
        <is>
          <t>No</t>
        </is>
      </c>
      <c r="AQ641" t="inlineStr">
        <is>
          <t>No</t>
        </is>
      </c>
      <c r="AS641">
        <f>HYPERLINK("https://creighton-primo.hosted.exlibrisgroup.com/primo-explore/search?tab=default_tab&amp;search_scope=EVERYTHING&amp;vid=01CRU&amp;lang=en_US&amp;offset=0&amp;query=any,contains,991005074439702656","Catalog Record")</f>
        <v/>
      </c>
      <c r="AT641">
        <f>HYPERLINK("http://www.worldcat.org/oclc/2203572","WorldCat Record")</f>
        <v/>
      </c>
      <c r="AU641" t="inlineStr">
        <is>
          <t>3832616:eng</t>
        </is>
      </c>
      <c r="AV641" t="inlineStr">
        <is>
          <t>2203572</t>
        </is>
      </c>
      <c r="AW641" t="inlineStr">
        <is>
          <t>991005074439702656</t>
        </is>
      </c>
      <c r="AX641" t="inlineStr">
        <is>
          <t>991005074439702656</t>
        </is>
      </c>
      <c r="AY641" t="inlineStr">
        <is>
          <t>2259290280002656</t>
        </is>
      </c>
      <c r="AZ641" t="inlineStr">
        <is>
          <t>BOOK</t>
        </is>
      </c>
      <c r="BC641" t="inlineStr">
        <is>
          <t>32285005288690</t>
        </is>
      </c>
      <c r="BD641" t="inlineStr">
        <is>
          <t>893722737</t>
        </is>
      </c>
    </row>
    <row r="642">
      <c r="A642" t="inlineStr">
        <is>
          <t>No</t>
        </is>
      </c>
      <c r="B642" t="inlineStr">
        <is>
          <t>PL2658.E5 A7 1963</t>
        </is>
      </c>
      <c r="C642" t="inlineStr">
        <is>
          <t>0                      PL 2658000E  5                  A  7           1963</t>
        </is>
      </c>
      <c r="D642" t="inlineStr">
        <is>
          <t>Famous Chinese plays / translated and edited by L.C. Arlington and Harold Acton.</t>
        </is>
      </c>
      <c r="F642" t="inlineStr">
        <is>
          <t>No</t>
        </is>
      </c>
      <c r="G642" t="inlineStr">
        <is>
          <t>1</t>
        </is>
      </c>
      <c r="H642" t="inlineStr">
        <is>
          <t>No</t>
        </is>
      </c>
      <c r="I642" t="inlineStr">
        <is>
          <t>No</t>
        </is>
      </c>
      <c r="J642" t="inlineStr">
        <is>
          <t>0</t>
        </is>
      </c>
      <c r="K642" t="inlineStr">
        <is>
          <t>Arlington, L. C. (Lewis Charles), 1859-</t>
        </is>
      </c>
      <c r="L642" t="inlineStr">
        <is>
          <t>New York : Russell &amp; Russell, 1963.</t>
        </is>
      </c>
      <c r="M642" t="inlineStr">
        <is>
          <t>1963</t>
        </is>
      </c>
      <c r="O642" t="inlineStr">
        <is>
          <t>eng</t>
        </is>
      </c>
      <c r="P642" t="inlineStr">
        <is>
          <t>nyu</t>
        </is>
      </c>
      <c r="R642" t="inlineStr">
        <is>
          <t xml:space="preserve">PL </t>
        </is>
      </c>
      <c r="S642" t="n">
        <v>1</v>
      </c>
      <c r="T642" t="n">
        <v>1</v>
      </c>
      <c r="U642" t="inlineStr">
        <is>
          <t>2009-11-02</t>
        </is>
      </c>
      <c r="V642" t="inlineStr">
        <is>
          <t>2009-11-02</t>
        </is>
      </c>
      <c r="W642" t="inlineStr">
        <is>
          <t>1993-12-22</t>
        </is>
      </c>
      <c r="X642" t="inlineStr">
        <is>
          <t>1993-12-22</t>
        </is>
      </c>
      <c r="Y642" t="n">
        <v>467</v>
      </c>
      <c r="Z642" t="n">
        <v>426</v>
      </c>
      <c r="AA642" t="n">
        <v>541</v>
      </c>
      <c r="AB642" t="n">
        <v>5</v>
      </c>
      <c r="AC642" t="n">
        <v>6</v>
      </c>
      <c r="AD642" t="n">
        <v>15</v>
      </c>
      <c r="AE642" t="n">
        <v>20</v>
      </c>
      <c r="AF642" t="n">
        <v>4</v>
      </c>
      <c r="AG642" t="n">
        <v>5</v>
      </c>
      <c r="AH642" t="n">
        <v>2</v>
      </c>
      <c r="AI642" t="n">
        <v>4</v>
      </c>
      <c r="AJ642" t="n">
        <v>10</v>
      </c>
      <c r="AK642" t="n">
        <v>12</v>
      </c>
      <c r="AL642" t="n">
        <v>3</v>
      </c>
      <c r="AM642" t="n">
        <v>4</v>
      </c>
      <c r="AN642" t="n">
        <v>0</v>
      </c>
      <c r="AO642" t="n">
        <v>0</v>
      </c>
      <c r="AP642" t="inlineStr">
        <is>
          <t>No</t>
        </is>
      </c>
      <c r="AQ642" t="inlineStr">
        <is>
          <t>No</t>
        </is>
      </c>
      <c r="AR642">
        <f>HYPERLINK("http://catalog.hathitrust.org/Record/001185176","HathiTrust Record")</f>
        <v/>
      </c>
      <c r="AS642">
        <f>HYPERLINK("https://creighton-primo.hosted.exlibrisgroup.com/primo-explore/search?tab=default_tab&amp;search_scope=EVERYTHING&amp;vid=01CRU&amp;lang=en_US&amp;offset=0&amp;query=any,contains,991003062929702656","Catalog Record")</f>
        <v/>
      </c>
      <c r="AT642">
        <f>HYPERLINK("http://www.worldcat.org/oclc/619669","WorldCat Record")</f>
        <v/>
      </c>
      <c r="AU642" t="inlineStr">
        <is>
          <t>352261806:eng</t>
        </is>
      </c>
      <c r="AV642" t="inlineStr">
        <is>
          <t>619669</t>
        </is>
      </c>
      <c r="AW642" t="inlineStr">
        <is>
          <t>991003062929702656</t>
        </is>
      </c>
      <c r="AX642" t="inlineStr">
        <is>
          <t>991003062929702656</t>
        </is>
      </c>
      <c r="AY642" t="inlineStr">
        <is>
          <t>2269895690002656</t>
        </is>
      </c>
      <c r="AZ642" t="inlineStr">
        <is>
          <t>BOOK</t>
        </is>
      </c>
      <c r="BC642" t="inlineStr">
        <is>
          <t>32285001826980</t>
        </is>
      </c>
      <c r="BD642" t="inlineStr">
        <is>
          <t>893428403</t>
        </is>
      </c>
    </row>
    <row r="643">
      <c r="A643" t="inlineStr">
        <is>
          <t>No</t>
        </is>
      </c>
      <c r="B643" t="inlineStr">
        <is>
          <t>PL2658.E5 O94 1997</t>
        </is>
      </c>
      <c r="C643" t="inlineStr">
        <is>
          <t>0                      PL 2658000E  5                  O  94          1997</t>
        </is>
      </c>
      <c r="D643" t="inlineStr">
        <is>
          <t>An Oxford anthology of contemporary Chinese drama / edited by Martha P.Y. Cheung and Jane C.C. Lai.</t>
        </is>
      </c>
      <c r="F643" t="inlineStr">
        <is>
          <t>No</t>
        </is>
      </c>
      <c r="G643" t="inlineStr">
        <is>
          <t>1</t>
        </is>
      </c>
      <c r="H643" t="inlineStr">
        <is>
          <t>No</t>
        </is>
      </c>
      <c r="I643" t="inlineStr">
        <is>
          <t>No</t>
        </is>
      </c>
      <c r="J643" t="inlineStr">
        <is>
          <t>0</t>
        </is>
      </c>
      <c r="L643" t="inlineStr">
        <is>
          <t>Hong Kong ; New York : Oxford University Press, 1997.</t>
        </is>
      </c>
      <c r="M643" t="inlineStr">
        <is>
          <t>1997</t>
        </is>
      </c>
      <c r="O643" t="inlineStr">
        <is>
          <t>eng</t>
        </is>
      </c>
      <c r="P643" t="inlineStr">
        <is>
          <t xml:space="preserve">hk </t>
        </is>
      </c>
      <c r="R643" t="inlineStr">
        <is>
          <t xml:space="preserve">PL </t>
        </is>
      </c>
      <c r="S643" t="n">
        <v>1</v>
      </c>
      <c r="T643" t="n">
        <v>1</v>
      </c>
      <c r="U643" t="inlineStr">
        <is>
          <t>2001-06-05</t>
        </is>
      </c>
      <c r="V643" t="inlineStr">
        <is>
          <t>2001-06-05</t>
        </is>
      </c>
      <c r="W643" t="inlineStr">
        <is>
          <t>2001-06-04</t>
        </is>
      </c>
      <c r="X643" t="inlineStr">
        <is>
          <t>2001-06-04</t>
        </is>
      </c>
      <c r="Y643" t="n">
        <v>310</v>
      </c>
      <c r="Z643" t="n">
        <v>244</v>
      </c>
      <c r="AA643" t="n">
        <v>252</v>
      </c>
      <c r="AB643" t="n">
        <v>2</v>
      </c>
      <c r="AC643" t="n">
        <v>2</v>
      </c>
      <c r="AD643" t="n">
        <v>15</v>
      </c>
      <c r="AE643" t="n">
        <v>15</v>
      </c>
      <c r="AF643" t="n">
        <v>6</v>
      </c>
      <c r="AG643" t="n">
        <v>6</v>
      </c>
      <c r="AH643" t="n">
        <v>4</v>
      </c>
      <c r="AI643" t="n">
        <v>4</v>
      </c>
      <c r="AJ643" t="n">
        <v>9</v>
      </c>
      <c r="AK643" t="n">
        <v>9</v>
      </c>
      <c r="AL643" t="n">
        <v>1</v>
      </c>
      <c r="AM643" t="n">
        <v>1</v>
      </c>
      <c r="AN643" t="n">
        <v>0</v>
      </c>
      <c r="AO643" t="n">
        <v>0</v>
      </c>
      <c r="AP643" t="inlineStr">
        <is>
          <t>No</t>
        </is>
      </c>
      <c r="AQ643" t="inlineStr">
        <is>
          <t>Yes</t>
        </is>
      </c>
      <c r="AR643">
        <f>HYPERLINK("http://catalog.hathitrust.org/Record/003957925","HathiTrust Record")</f>
        <v/>
      </c>
      <c r="AS643">
        <f>HYPERLINK("https://creighton-primo.hosted.exlibrisgroup.com/primo-explore/search?tab=default_tab&amp;search_scope=EVERYTHING&amp;vid=01CRU&amp;lang=en_US&amp;offset=0&amp;query=any,contains,991003505729702656","Catalog Record")</f>
        <v/>
      </c>
      <c r="AT643">
        <f>HYPERLINK("http://www.worldcat.org/oclc/36283949","WorldCat Record")</f>
        <v/>
      </c>
      <c r="AU643" t="inlineStr">
        <is>
          <t>351484703:eng</t>
        </is>
      </c>
      <c r="AV643" t="inlineStr">
        <is>
          <t>36283949</t>
        </is>
      </c>
      <c r="AW643" t="inlineStr">
        <is>
          <t>991003505729702656</t>
        </is>
      </c>
      <c r="AX643" t="inlineStr">
        <is>
          <t>991003505729702656</t>
        </is>
      </c>
      <c r="AY643" t="inlineStr">
        <is>
          <t>2272539590002656</t>
        </is>
      </c>
      <c r="AZ643" t="inlineStr">
        <is>
          <t>BOOK</t>
        </is>
      </c>
      <c r="BB643" t="inlineStr">
        <is>
          <t>9780195868807</t>
        </is>
      </c>
      <c r="BC643" t="inlineStr">
        <is>
          <t>32285004319520</t>
        </is>
      </c>
      <c r="BD643" t="inlineStr">
        <is>
          <t>893416452</t>
        </is>
      </c>
    </row>
    <row r="644">
      <c r="A644" t="inlineStr">
        <is>
          <t>No</t>
        </is>
      </c>
      <c r="B644" t="inlineStr">
        <is>
          <t>PL2658.E8 P53 2001</t>
        </is>
      </c>
      <c r="C644" t="inlineStr">
        <is>
          <t>0                      PL 2658000E  8                  P  53          2001</t>
        </is>
      </c>
      <c r="D644" t="inlineStr">
        <is>
          <t>The Vintage Book of contemporary Chinese fiction / edited by Carolyn Choa and David Su Li-qun.</t>
        </is>
      </c>
      <c r="F644" t="inlineStr">
        <is>
          <t>No</t>
        </is>
      </c>
      <c r="G644" t="inlineStr">
        <is>
          <t>1</t>
        </is>
      </c>
      <c r="H644" t="inlineStr">
        <is>
          <t>No</t>
        </is>
      </c>
      <c r="I644" t="inlineStr">
        <is>
          <t>No</t>
        </is>
      </c>
      <c r="J644" t="inlineStr">
        <is>
          <t>0</t>
        </is>
      </c>
      <c r="K644" t="inlineStr">
        <is>
          <t>Picador book of contemporary Chinese fiction.</t>
        </is>
      </c>
      <c r="L644" t="inlineStr">
        <is>
          <t>New York : Vintage Books, 2001.</t>
        </is>
      </c>
      <c r="M644" t="inlineStr">
        <is>
          <t>2001</t>
        </is>
      </c>
      <c r="O644" t="inlineStr">
        <is>
          <t>eng</t>
        </is>
      </c>
      <c r="P644" t="inlineStr">
        <is>
          <t>nyu</t>
        </is>
      </c>
      <c r="R644" t="inlineStr">
        <is>
          <t xml:space="preserve">PL </t>
        </is>
      </c>
      <c r="S644" t="n">
        <v>1</v>
      </c>
      <c r="T644" t="n">
        <v>1</v>
      </c>
      <c r="U644" t="inlineStr">
        <is>
          <t>2002-03-25</t>
        </is>
      </c>
      <c r="V644" t="inlineStr">
        <is>
          <t>2002-03-25</t>
        </is>
      </c>
      <c r="W644" t="inlineStr">
        <is>
          <t>2002-02-27</t>
        </is>
      </c>
      <c r="X644" t="inlineStr">
        <is>
          <t>2002-02-27</t>
        </is>
      </c>
      <c r="Y644" t="n">
        <v>394</v>
      </c>
      <c r="Z644" t="n">
        <v>367</v>
      </c>
      <c r="AA644" t="n">
        <v>374</v>
      </c>
      <c r="AB644" t="n">
        <v>3</v>
      </c>
      <c r="AC644" t="n">
        <v>3</v>
      </c>
      <c r="AD644" t="n">
        <v>13</v>
      </c>
      <c r="AE644" t="n">
        <v>13</v>
      </c>
      <c r="AF644" t="n">
        <v>5</v>
      </c>
      <c r="AG644" t="n">
        <v>5</v>
      </c>
      <c r="AH644" t="n">
        <v>4</v>
      </c>
      <c r="AI644" t="n">
        <v>4</v>
      </c>
      <c r="AJ644" t="n">
        <v>5</v>
      </c>
      <c r="AK644" t="n">
        <v>5</v>
      </c>
      <c r="AL644" t="n">
        <v>2</v>
      </c>
      <c r="AM644" t="n">
        <v>2</v>
      </c>
      <c r="AN644" t="n">
        <v>0</v>
      </c>
      <c r="AO644" t="n">
        <v>0</v>
      </c>
      <c r="AP644" t="inlineStr">
        <is>
          <t>No</t>
        </is>
      </c>
      <c r="AQ644" t="inlineStr">
        <is>
          <t>Yes</t>
        </is>
      </c>
      <c r="AR644">
        <f>HYPERLINK("http://catalog.hathitrust.org/Record/004582365","HathiTrust Record")</f>
        <v/>
      </c>
      <c r="AS644">
        <f>HYPERLINK("https://creighton-primo.hosted.exlibrisgroup.com/primo-explore/search?tab=default_tab&amp;search_scope=EVERYTHING&amp;vid=01CRU&amp;lang=en_US&amp;offset=0&amp;query=any,contains,991003723789702656","Catalog Record")</f>
        <v/>
      </c>
      <c r="AT644">
        <f>HYPERLINK("http://www.worldcat.org/oclc/46576386","WorldCat Record")</f>
        <v/>
      </c>
      <c r="AU644" t="inlineStr">
        <is>
          <t>35455657:eng</t>
        </is>
      </c>
      <c r="AV644" t="inlineStr">
        <is>
          <t>46576386</t>
        </is>
      </c>
      <c r="AW644" t="inlineStr">
        <is>
          <t>991003723789702656</t>
        </is>
      </c>
      <c r="AX644" t="inlineStr">
        <is>
          <t>991003723789702656</t>
        </is>
      </c>
      <c r="AY644" t="inlineStr">
        <is>
          <t>2272569730002656</t>
        </is>
      </c>
      <c r="AZ644" t="inlineStr">
        <is>
          <t>BOOK</t>
        </is>
      </c>
      <c r="BB644" t="inlineStr">
        <is>
          <t>9780375700934</t>
        </is>
      </c>
      <c r="BC644" t="inlineStr">
        <is>
          <t>32285004458062</t>
        </is>
      </c>
      <c r="BD644" t="inlineStr">
        <is>
          <t>893228374</t>
        </is>
      </c>
    </row>
    <row r="645">
      <c r="A645" t="inlineStr">
        <is>
          <t>No</t>
        </is>
      </c>
      <c r="B645" t="inlineStr">
        <is>
          <t>PL2658.E8 R52 1982</t>
        </is>
      </c>
      <c r="C645" t="inlineStr">
        <is>
          <t>0                      PL 2658000E  8                  R  52          1982</t>
        </is>
      </c>
      <c r="D645" t="inlineStr">
        <is>
          <t>Rice bowl women : writings by and about the women of China and Japan/ edited with an introduction and notes by Dorothy Blair Shimer.</t>
        </is>
      </c>
      <c r="F645" t="inlineStr">
        <is>
          <t>No</t>
        </is>
      </c>
      <c r="G645" t="inlineStr">
        <is>
          <t>1</t>
        </is>
      </c>
      <c r="H645" t="inlineStr">
        <is>
          <t>No</t>
        </is>
      </c>
      <c r="I645" t="inlineStr">
        <is>
          <t>No</t>
        </is>
      </c>
      <c r="J645" t="inlineStr">
        <is>
          <t>0</t>
        </is>
      </c>
      <c r="L645" t="inlineStr">
        <is>
          <t>New York : New American Library, c1982.</t>
        </is>
      </c>
      <c r="M645" t="inlineStr">
        <is>
          <t>1982</t>
        </is>
      </c>
      <c r="O645" t="inlineStr">
        <is>
          <t>eng</t>
        </is>
      </c>
      <c r="P645" t="inlineStr">
        <is>
          <t>nyu</t>
        </is>
      </c>
      <c r="R645" t="inlineStr">
        <is>
          <t xml:space="preserve">PL </t>
        </is>
      </c>
      <c r="S645" t="n">
        <v>7</v>
      </c>
      <c r="T645" t="n">
        <v>7</v>
      </c>
      <c r="U645" t="inlineStr">
        <is>
          <t>1998-10-02</t>
        </is>
      </c>
      <c r="V645" t="inlineStr">
        <is>
          <t>1998-10-02</t>
        </is>
      </c>
      <c r="W645" t="inlineStr">
        <is>
          <t>1993-05-05</t>
        </is>
      </c>
      <c r="X645" t="inlineStr">
        <is>
          <t>1993-05-05</t>
        </is>
      </c>
      <c r="Y645" t="n">
        <v>319</v>
      </c>
      <c r="Z645" t="n">
        <v>267</v>
      </c>
      <c r="AA645" t="n">
        <v>337</v>
      </c>
      <c r="AB645" t="n">
        <v>2</v>
      </c>
      <c r="AC645" t="n">
        <v>3</v>
      </c>
      <c r="AD645" t="n">
        <v>5</v>
      </c>
      <c r="AE645" t="n">
        <v>8</v>
      </c>
      <c r="AF645" t="n">
        <v>1</v>
      </c>
      <c r="AG645" t="n">
        <v>2</v>
      </c>
      <c r="AH645" t="n">
        <v>1</v>
      </c>
      <c r="AI645" t="n">
        <v>2</v>
      </c>
      <c r="AJ645" t="n">
        <v>3</v>
      </c>
      <c r="AK645" t="n">
        <v>5</v>
      </c>
      <c r="AL645" t="n">
        <v>1</v>
      </c>
      <c r="AM645" t="n">
        <v>1</v>
      </c>
      <c r="AN645" t="n">
        <v>0</v>
      </c>
      <c r="AO645" t="n">
        <v>0</v>
      </c>
      <c r="AP645" t="inlineStr">
        <is>
          <t>No</t>
        </is>
      </c>
      <c r="AQ645" t="inlineStr">
        <is>
          <t>Yes</t>
        </is>
      </c>
      <c r="AR645">
        <f>HYPERLINK("http://catalog.hathitrust.org/Record/000330694","HathiTrust Record")</f>
        <v/>
      </c>
      <c r="AS645">
        <f>HYPERLINK("https://creighton-primo.hosted.exlibrisgroup.com/primo-explore/search?tab=default_tab&amp;search_scope=EVERYTHING&amp;vid=01CRU&amp;lang=en_US&amp;offset=0&amp;query=any,contains,991005235779702656","Catalog Record")</f>
        <v/>
      </c>
      <c r="AT645">
        <f>HYPERLINK("http://www.worldcat.org/oclc/8379972","WorldCat Record")</f>
        <v/>
      </c>
      <c r="AU645" t="inlineStr">
        <is>
          <t>54501746:eng</t>
        </is>
      </c>
      <c r="AV645" t="inlineStr">
        <is>
          <t>8379972</t>
        </is>
      </c>
      <c r="AW645" t="inlineStr">
        <is>
          <t>991005235779702656</t>
        </is>
      </c>
      <c r="AX645" t="inlineStr">
        <is>
          <t>991005235779702656</t>
        </is>
      </c>
      <c r="AY645" t="inlineStr">
        <is>
          <t>2262146950002656</t>
        </is>
      </c>
      <c r="AZ645" t="inlineStr">
        <is>
          <t>BOOK</t>
        </is>
      </c>
      <c r="BB645" t="inlineStr">
        <is>
          <t>9780451620828</t>
        </is>
      </c>
      <c r="BC645" t="inlineStr">
        <is>
          <t>32285001672343</t>
        </is>
      </c>
      <c r="BD645" t="inlineStr">
        <is>
          <t>893344882</t>
        </is>
      </c>
    </row>
    <row r="646">
      <c r="A646" t="inlineStr">
        <is>
          <t>No</t>
        </is>
      </c>
      <c r="B646" t="inlineStr">
        <is>
          <t>PL2658.E8 S52 1996</t>
        </is>
      </c>
      <c r="C646" t="inlineStr">
        <is>
          <t>0                      PL 2658000E  8                  S  52          1996</t>
        </is>
      </c>
      <c r="D646" t="inlineStr">
        <is>
          <t>Short tales of the Ming &amp; Qing.</t>
        </is>
      </c>
      <c r="F646" t="inlineStr">
        <is>
          <t>No</t>
        </is>
      </c>
      <c r="G646" t="inlineStr">
        <is>
          <t>1</t>
        </is>
      </c>
      <c r="H646" t="inlineStr">
        <is>
          <t>No</t>
        </is>
      </c>
      <c r="I646" t="inlineStr">
        <is>
          <t>No</t>
        </is>
      </c>
      <c r="J646" t="inlineStr">
        <is>
          <t>0</t>
        </is>
      </c>
      <c r="L646" t="inlineStr">
        <is>
          <t>Beijing, China : Chinese Literature : Distributed by China International Book Trading Corp., 1996.</t>
        </is>
      </c>
      <c r="M646" t="inlineStr">
        <is>
          <t>1996</t>
        </is>
      </c>
      <c r="N646" t="inlineStr">
        <is>
          <t>1st ed.</t>
        </is>
      </c>
      <c r="O646" t="inlineStr">
        <is>
          <t>eng</t>
        </is>
      </c>
      <c r="P646" t="inlineStr">
        <is>
          <t xml:space="preserve">cc </t>
        </is>
      </c>
      <c r="Q646" t="inlineStr">
        <is>
          <t>Panda books</t>
        </is>
      </c>
      <c r="R646" t="inlineStr">
        <is>
          <t xml:space="preserve">PL </t>
        </is>
      </c>
      <c r="S646" t="n">
        <v>4</v>
      </c>
      <c r="T646" t="n">
        <v>4</v>
      </c>
      <c r="U646" t="inlineStr">
        <is>
          <t>2000-01-05</t>
        </is>
      </c>
      <c r="V646" t="inlineStr">
        <is>
          <t>2000-01-05</t>
        </is>
      </c>
      <c r="W646" t="inlineStr">
        <is>
          <t>1998-02-26</t>
        </is>
      </c>
      <c r="X646" t="inlineStr">
        <is>
          <t>1998-02-26</t>
        </is>
      </c>
      <c r="Y646" t="n">
        <v>10</v>
      </c>
      <c r="Z646" t="n">
        <v>5</v>
      </c>
      <c r="AA646" t="n">
        <v>5</v>
      </c>
      <c r="AB646" t="n">
        <v>1</v>
      </c>
      <c r="AC646" t="n">
        <v>1</v>
      </c>
      <c r="AD646" t="n">
        <v>0</v>
      </c>
      <c r="AE646" t="n">
        <v>0</v>
      </c>
      <c r="AF646" t="n">
        <v>0</v>
      </c>
      <c r="AG646" t="n">
        <v>0</v>
      </c>
      <c r="AH646" t="n">
        <v>0</v>
      </c>
      <c r="AI646" t="n">
        <v>0</v>
      </c>
      <c r="AJ646" t="n">
        <v>0</v>
      </c>
      <c r="AK646" t="n">
        <v>0</v>
      </c>
      <c r="AL646" t="n">
        <v>0</v>
      </c>
      <c r="AM646" t="n">
        <v>0</v>
      </c>
      <c r="AN646" t="n">
        <v>0</v>
      </c>
      <c r="AO646" t="n">
        <v>0</v>
      </c>
      <c r="AP646" t="inlineStr">
        <is>
          <t>No</t>
        </is>
      </c>
      <c r="AQ646" t="inlineStr">
        <is>
          <t>No</t>
        </is>
      </c>
      <c r="AS646">
        <f>HYPERLINK("https://creighton-primo.hosted.exlibrisgroup.com/primo-explore/search?tab=default_tab&amp;search_scope=EVERYTHING&amp;vid=01CRU&amp;lang=en_US&amp;offset=0&amp;query=any,contains,991002906109702656","Catalog Record")</f>
        <v/>
      </c>
      <c r="AT646">
        <f>HYPERLINK("http://www.worldcat.org/oclc/38373120","WorldCat Record")</f>
        <v/>
      </c>
      <c r="AU646" t="inlineStr">
        <is>
          <t>41925316:eng</t>
        </is>
      </c>
      <c r="AV646" t="inlineStr">
        <is>
          <t>38373120</t>
        </is>
      </c>
      <c r="AW646" t="inlineStr">
        <is>
          <t>991002906109702656</t>
        </is>
      </c>
      <c r="AX646" t="inlineStr">
        <is>
          <t>991002906109702656</t>
        </is>
      </c>
      <c r="AY646" t="inlineStr">
        <is>
          <t>2260643500002656</t>
        </is>
      </c>
      <c r="AZ646" t="inlineStr">
        <is>
          <t>BOOK</t>
        </is>
      </c>
      <c r="BB646" t="inlineStr">
        <is>
          <t>9780835131858</t>
        </is>
      </c>
      <c r="BC646" t="inlineStr">
        <is>
          <t>32285003265229</t>
        </is>
      </c>
      <c r="BD646" t="inlineStr">
        <is>
          <t>893227421</t>
        </is>
      </c>
    </row>
    <row r="647">
      <c r="A647" t="inlineStr">
        <is>
          <t>No</t>
        </is>
      </c>
      <c r="B647" t="inlineStr">
        <is>
          <t>PL2658.E8 T7</t>
        </is>
      </c>
      <c r="C647" t="inlineStr">
        <is>
          <t>0                      PL 2658000E  8                  T  7</t>
        </is>
      </c>
      <c r="D647" t="inlineStr">
        <is>
          <t>Traditional Chinese stories : themes and variations / edited by Y. W. Ma and Joseph S. M. Lau.</t>
        </is>
      </c>
      <c r="F647" t="inlineStr">
        <is>
          <t>No</t>
        </is>
      </c>
      <c r="G647" t="inlineStr">
        <is>
          <t>1</t>
        </is>
      </c>
      <c r="H647" t="inlineStr">
        <is>
          <t>No</t>
        </is>
      </c>
      <c r="I647" t="inlineStr">
        <is>
          <t>No</t>
        </is>
      </c>
      <c r="J647" t="inlineStr">
        <is>
          <t>0</t>
        </is>
      </c>
      <c r="L647" t="inlineStr">
        <is>
          <t>New York : Columbia University Press, 1978.</t>
        </is>
      </c>
      <c r="M647" t="inlineStr">
        <is>
          <t>1978</t>
        </is>
      </c>
      <c r="O647" t="inlineStr">
        <is>
          <t>eng</t>
        </is>
      </c>
      <c r="P647" t="inlineStr">
        <is>
          <t>nyu</t>
        </is>
      </c>
      <c r="R647" t="inlineStr">
        <is>
          <t xml:space="preserve">PL </t>
        </is>
      </c>
      <c r="S647" t="n">
        <v>1</v>
      </c>
      <c r="T647" t="n">
        <v>1</v>
      </c>
      <c r="U647" t="inlineStr">
        <is>
          <t>1993-11-08</t>
        </is>
      </c>
      <c r="V647" t="inlineStr">
        <is>
          <t>1993-11-08</t>
        </is>
      </c>
      <c r="W647" t="inlineStr">
        <is>
          <t>1993-05-05</t>
        </is>
      </c>
      <c r="X647" t="inlineStr">
        <is>
          <t>1993-05-05</t>
        </is>
      </c>
      <c r="Y647" t="n">
        <v>755</v>
      </c>
      <c r="Z647" t="n">
        <v>649</v>
      </c>
      <c r="AA647" t="n">
        <v>727</v>
      </c>
      <c r="AB647" t="n">
        <v>3</v>
      </c>
      <c r="AC647" t="n">
        <v>3</v>
      </c>
      <c r="AD647" t="n">
        <v>20</v>
      </c>
      <c r="AE647" t="n">
        <v>24</v>
      </c>
      <c r="AF647" t="n">
        <v>7</v>
      </c>
      <c r="AG647" t="n">
        <v>9</v>
      </c>
      <c r="AH647" t="n">
        <v>5</v>
      </c>
      <c r="AI647" t="n">
        <v>6</v>
      </c>
      <c r="AJ647" t="n">
        <v>11</v>
      </c>
      <c r="AK647" t="n">
        <v>13</v>
      </c>
      <c r="AL647" t="n">
        <v>2</v>
      </c>
      <c r="AM647" t="n">
        <v>2</v>
      </c>
      <c r="AN647" t="n">
        <v>0</v>
      </c>
      <c r="AO647" t="n">
        <v>0</v>
      </c>
      <c r="AP647" t="inlineStr">
        <is>
          <t>No</t>
        </is>
      </c>
      <c r="AQ647" t="inlineStr">
        <is>
          <t>Yes</t>
        </is>
      </c>
      <c r="AR647">
        <f>HYPERLINK("http://catalog.hathitrust.org/Record/000750160","HathiTrust Record")</f>
        <v/>
      </c>
      <c r="AS647">
        <f>HYPERLINK("https://creighton-primo.hosted.exlibrisgroup.com/primo-explore/search?tab=default_tab&amp;search_scope=EVERYTHING&amp;vid=01CRU&amp;lang=en_US&amp;offset=0&amp;query=any,contains,991004415549702656","Catalog Record")</f>
        <v/>
      </c>
      <c r="AT647">
        <f>HYPERLINK("http://www.worldcat.org/oclc/3361399","WorldCat Record")</f>
        <v/>
      </c>
      <c r="AU647" t="inlineStr">
        <is>
          <t>313417028:eng</t>
        </is>
      </c>
      <c r="AV647" t="inlineStr">
        <is>
          <t>3361399</t>
        </is>
      </c>
      <c r="AW647" t="inlineStr">
        <is>
          <t>991004415549702656</t>
        </is>
      </c>
      <c r="AX647" t="inlineStr">
        <is>
          <t>991004415549702656</t>
        </is>
      </c>
      <c r="AY647" t="inlineStr">
        <is>
          <t>2255555240002656</t>
        </is>
      </c>
      <c r="AZ647" t="inlineStr">
        <is>
          <t>BOOK</t>
        </is>
      </c>
      <c r="BB647" t="inlineStr">
        <is>
          <t>9780231040587</t>
        </is>
      </c>
      <c r="BC647" t="inlineStr">
        <is>
          <t>32285001672350</t>
        </is>
      </c>
      <c r="BD647" t="inlineStr">
        <is>
          <t>893229338</t>
        </is>
      </c>
    </row>
    <row r="648">
      <c r="A648" t="inlineStr">
        <is>
          <t>No</t>
        </is>
      </c>
      <c r="B648" t="inlineStr">
        <is>
          <t>PL2658.E8 W3 1968</t>
        </is>
      </c>
      <c r="C648" t="inlineStr">
        <is>
          <t>0                      PL 2658000E  8                  W  3           1968</t>
        </is>
      </c>
      <c r="D648" t="inlineStr">
        <is>
          <t>Traditional Chinese tales / translated by Chi-chen Wang.</t>
        </is>
      </c>
      <c r="F648" t="inlineStr">
        <is>
          <t>No</t>
        </is>
      </c>
      <c r="G648" t="inlineStr">
        <is>
          <t>1</t>
        </is>
      </c>
      <c r="H648" t="inlineStr">
        <is>
          <t>No</t>
        </is>
      </c>
      <c r="I648" t="inlineStr">
        <is>
          <t>No</t>
        </is>
      </c>
      <c r="J648" t="inlineStr">
        <is>
          <t>0</t>
        </is>
      </c>
      <c r="K648" t="inlineStr">
        <is>
          <t>Wang, Chi-Chen, 1899-2001 translator.</t>
        </is>
      </c>
      <c r="L648" t="inlineStr">
        <is>
          <t>New York : Greenwood Press, [1968, c1944]</t>
        </is>
      </c>
      <c r="M648" t="inlineStr">
        <is>
          <t>1968</t>
        </is>
      </c>
      <c r="O648" t="inlineStr">
        <is>
          <t>eng</t>
        </is>
      </c>
      <c r="P648" t="inlineStr">
        <is>
          <t>nyu</t>
        </is>
      </c>
      <c r="R648" t="inlineStr">
        <is>
          <t xml:space="preserve">PL </t>
        </is>
      </c>
      <c r="S648" t="n">
        <v>10</v>
      </c>
      <c r="T648" t="n">
        <v>10</v>
      </c>
      <c r="U648" t="inlineStr">
        <is>
          <t>1999-03-17</t>
        </is>
      </c>
      <c r="V648" t="inlineStr">
        <is>
          <t>1999-03-17</t>
        </is>
      </c>
      <c r="W648" t="inlineStr">
        <is>
          <t>1991-11-06</t>
        </is>
      </c>
      <c r="X648" t="inlineStr">
        <is>
          <t>1991-11-06</t>
        </is>
      </c>
      <c r="Y648" t="n">
        <v>356</v>
      </c>
      <c r="Z648" t="n">
        <v>320</v>
      </c>
      <c r="AA648" t="n">
        <v>637</v>
      </c>
      <c r="AB648" t="n">
        <v>1</v>
      </c>
      <c r="AC648" t="n">
        <v>3</v>
      </c>
      <c r="AD648" t="n">
        <v>13</v>
      </c>
      <c r="AE648" t="n">
        <v>20</v>
      </c>
      <c r="AF648" t="n">
        <v>3</v>
      </c>
      <c r="AG648" t="n">
        <v>4</v>
      </c>
      <c r="AH648" t="n">
        <v>4</v>
      </c>
      <c r="AI648" t="n">
        <v>6</v>
      </c>
      <c r="AJ648" t="n">
        <v>7</v>
      </c>
      <c r="AK648" t="n">
        <v>12</v>
      </c>
      <c r="AL648" t="n">
        <v>0</v>
      </c>
      <c r="AM648" t="n">
        <v>2</v>
      </c>
      <c r="AN648" t="n">
        <v>0</v>
      </c>
      <c r="AO648" t="n">
        <v>0</v>
      </c>
      <c r="AP648" t="inlineStr">
        <is>
          <t>No</t>
        </is>
      </c>
      <c r="AQ648" t="inlineStr">
        <is>
          <t>No</t>
        </is>
      </c>
      <c r="AS648">
        <f>HYPERLINK("https://creighton-primo.hosted.exlibrisgroup.com/primo-explore/search?tab=default_tab&amp;search_scope=EVERYTHING&amp;vid=01CRU&amp;lang=en_US&amp;offset=0&amp;query=any,contains,991005437049702656","Catalog Record")</f>
        <v/>
      </c>
      <c r="AT648">
        <f>HYPERLINK("http://www.worldcat.org/oclc/4961","WorldCat Record")</f>
        <v/>
      </c>
      <c r="AU648" t="inlineStr">
        <is>
          <t>499395:eng</t>
        </is>
      </c>
      <c r="AV648" t="inlineStr">
        <is>
          <t>4961</t>
        </is>
      </c>
      <c r="AW648" t="inlineStr">
        <is>
          <t>991005437049702656</t>
        </is>
      </c>
      <c r="AX648" t="inlineStr">
        <is>
          <t>991005437049702656</t>
        </is>
      </c>
      <c r="AY648" t="inlineStr">
        <is>
          <t>2266347640002656</t>
        </is>
      </c>
      <c r="AZ648" t="inlineStr">
        <is>
          <t>BOOK</t>
        </is>
      </c>
      <c r="BC648" t="inlineStr">
        <is>
          <t>32285000796689</t>
        </is>
      </c>
      <c r="BD648" t="inlineStr">
        <is>
          <t>893689204</t>
        </is>
      </c>
    </row>
    <row r="649">
      <c r="A649" t="inlineStr">
        <is>
          <t>No</t>
        </is>
      </c>
      <c r="B649" t="inlineStr">
        <is>
          <t>PL2658.E8 W6</t>
        </is>
      </c>
      <c r="C649" t="inlineStr">
        <is>
          <t>0                      PL 2658000E  8                  W  6</t>
        </is>
      </c>
      <c r="D649" t="inlineStr">
        <is>
          <t>The Wounded : new stories of the Cultural Revolution, 77-78 / authors, Lu Xinhua ... [et al.] ; translators, Geremie Barmé &amp; Bennett Lee.</t>
        </is>
      </c>
      <c r="F649" t="inlineStr">
        <is>
          <t>No</t>
        </is>
      </c>
      <c r="G649" t="inlineStr">
        <is>
          <t>1</t>
        </is>
      </c>
      <c r="H649" t="inlineStr">
        <is>
          <t>No</t>
        </is>
      </c>
      <c r="I649" t="inlineStr">
        <is>
          <t>No</t>
        </is>
      </c>
      <c r="J649" t="inlineStr">
        <is>
          <t>0</t>
        </is>
      </c>
      <c r="L649" t="inlineStr">
        <is>
          <t>Hongkong : Joint Pub. Co., 1979.</t>
        </is>
      </c>
      <c r="M649" t="inlineStr">
        <is>
          <t>1979</t>
        </is>
      </c>
      <c r="O649" t="inlineStr">
        <is>
          <t>eng</t>
        </is>
      </c>
      <c r="P649" t="inlineStr">
        <is>
          <t xml:space="preserve">hk </t>
        </is>
      </c>
      <c r="R649" t="inlineStr">
        <is>
          <t xml:space="preserve">PL </t>
        </is>
      </c>
      <c r="S649" t="n">
        <v>2</v>
      </c>
      <c r="T649" t="n">
        <v>2</v>
      </c>
      <c r="U649" t="inlineStr">
        <is>
          <t>1999-03-20</t>
        </is>
      </c>
      <c r="V649" t="inlineStr">
        <is>
          <t>1999-03-20</t>
        </is>
      </c>
      <c r="W649" t="inlineStr">
        <is>
          <t>1993-05-05</t>
        </is>
      </c>
      <c r="X649" t="inlineStr">
        <is>
          <t>1993-05-05</t>
        </is>
      </c>
      <c r="Y649" t="n">
        <v>175</v>
      </c>
      <c r="Z649" t="n">
        <v>121</v>
      </c>
      <c r="AA649" t="n">
        <v>125</v>
      </c>
      <c r="AB649" t="n">
        <v>1</v>
      </c>
      <c r="AC649" t="n">
        <v>1</v>
      </c>
      <c r="AD649" t="n">
        <v>4</v>
      </c>
      <c r="AE649" t="n">
        <v>4</v>
      </c>
      <c r="AF649" t="n">
        <v>1</v>
      </c>
      <c r="AG649" t="n">
        <v>1</v>
      </c>
      <c r="AH649" t="n">
        <v>1</v>
      </c>
      <c r="AI649" t="n">
        <v>1</v>
      </c>
      <c r="AJ649" t="n">
        <v>3</v>
      </c>
      <c r="AK649" t="n">
        <v>3</v>
      </c>
      <c r="AL649" t="n">
        <v>0</v>
      </c>
      <c r="AM649" t="n">
        <v>0</v>
      </c>
      <c r="AN649" t="n">
        <v>0</v>
      </c>
      <c r="AO649" t="n">
        <v>0</v>
      </c>
      <c r="AP649" t="inlineStr">
        <is>
          <t>No</t>
        </is>
      </c>
      <c r="AQ649" t="inlineStr">
        <is>
          <t>Yes</t>
        </is>
      </c>
      <c r="AR649">
        <f>HYPERLINK("http://catalog.hathitrust.org/Record/000266845","HathiTrust Record")</f>
        <v/>
      </c>
      <c r="AS649">
        <f>HYPERLINK("https://creighton-primo.hosted.exlibrisgroup.com/primo-explore/search?tab=default_tab&amp;search_scope=EVERYTHING&amp;vid=01CRU&amp;lang=en_US&amp;offset=0&amp;query=any,contains,991004899879702656","Catalog Record")</f>
        <v/>
      </c>
      <c r="AT649">
        <f>HYPERLINK("http://www.worldcat.org/oclc/5925097","WorldCat Record")</f>
        <v/>
      </c>
      <c r="AU649" t="inlineStr">
        <is>
          <t>5090724640:eng</t>
        </is>
      </c>
      <c r="AV649" t="inlineStr">
        <is>
          <t>5925097</t>
        </is>
      </c>
      <c r="AW649" t="inlineStr">
        <is>
          <t>991004899879702656</t>
        </is>
      </c>
      <c r="AX649" t="inlineStr">
        <is>
          <t>991004899879702656</t>
        </is>
      </c>
      <c r="AY649" t="inlineStr">
        <is>
          <t>2254937050002656</t>
        </is>
      </c>
      <c r="AZ649" t="inlineStr">
        <is>
          <t>BOOK</t>
        </is>
      </c>
      <c r="BB649" t="inlineStr">
        <is>
          <t>9789620400070</t>
        </is>
      </c>
      <c r="BC649" t="inlineStr">
        <is>
          <t>32285001672368</t>
        </is>
      </c>
      <c r="BD649" t="inlineStr">
        <is>
          <t>893801462</t>
        </is>
      </c>
    </row>
    <row r="650">
      <c r="A650" t="inlineStr">
        <is>
          <t>No</t>
        </is>
      </c>
      <c r="B650" t="inlineStr">
        <is>
          <t>PL2671 .A25 1996</t>
        </is>
      </c>
      <c r="C650" t="inlineStr">
        <is>
          <t>0                      PL 2671000A  25          1996</t>
        </is>
      </c>
      <c r="D650" t="inlineStr">
        <is>
          <t>The selected poems of Li Po / translated by David Hinton.</t>
        </is>
      </c>
      <c r="F650" t="inlineStr">
        <is>
          <t>No</t>
        </is>
      </c>
      <c r="G650" t="inlineStr">
        <is>
          <t>1</t>
        </is>
      </c>
      <c r="H650" t="inlineStr">
        <is>
          <t>No</t>
        </is>
      </c>
      <c r="I650" t="inlineStr">
        <is>
          <t>No</t>
        </is>
      </c>
      <c r="J650" t="inlineStr">
        <is>
          <t>0</t>
        </is>
      </c>
      <c r="K650" t="inlineStr">
        <is>
          <t>Li, Bai, 701-762.</t>
        </is>
      </c>
      <c r="L650" t="inlineStr">
        <is>
          <t>New York : New Directions Pub., 1996.</t>
        </is>
      </c>
      <c r="M650" t="inlineStr">
        <is>
          <t>1996</t>
        </is>
      </c>
      <c r="O650" t="inlineStr">
        <is>
          <t>eng</t>
        </is>
      </c>
      <c r="P650" t="inlineStr">
        <is>
          <t>nyu</t>
        </is>
      </c>
      <c r="Q650" t="inlineStr">
        <is>
          <t>New Directions paperbook ; 823</t>
        </is>
      </c>
      <c r="R650" t="inlineStr">
        <is>
          <t xml:space="preserve">PL </t>
        </is>
      </c>
      <c r="S650" t="n">
        <v>11</v>
      </c>
      <c r="T650" t="n">
        <v>11</v>
      </c>
      <c r="U650" t="inlineStr">
        <is>
          <t>2007-05-10</t>
        </is>
      </c>
      <c r="V650" t="inlineStr">
        <is>
          <t>2007-05-10</t>
        </is>
      </c>
      <c r="W650" t="inlineStr">
        <is>
          <t>1996-08-20</t>
        </is>
      </c>
      <c r="X650" t="inlineStr">
        <is>
          <t>1996-08-20</t>
        </is>
      </c>
      <c r="Y650" t="n">
        <v>375</v>
      </c>
      <c r="Z650" t="n">
        <v>337</v>
      </c>
      <c r="AA650" t="n">
        <v>347</v>
      </c>
      <c r="AB650" t="n">
        <v>3</v>
      </c>
      <c r="AC650" t="n">
        <v>3</v>
      </c>
      <c r="AD650" t="n">
        <v>13</v>
      </c>
      <c r="AE650" t="n">
        <v>13</v>
      </c>
      <c r="AF650" t="n">
        <v>5</v>
      </c>
      <c r="AG650" t="n">
        <v>5</v>
      </c>
      <c r="AH650" t="n">
        <v>4</v>
      </c>
      <c r="AI650" t="n">
        <v>4</v>
      </c>
      <c r="AJ650" t="n">
        <v>7</v>
      </c>
      <c r="AK650" t="n">
        <v>7</v>
      </c>
      <c r="AL650" t="n">
        <v>1</v>
      </c>
      <c r="AM650" t="n">
        <v>1</v>
      </c>
      <c r="AN650" t="n">
        <v>0</v>
      </c>
      <c r="AO650" t="n">
        <v>0</v>
      </c>
      <c r="AP650" t="inlineStr">
        <is>
          <t>No</t>
        </is>
      </c>
      <c r="AQ650" t="inlineStr">
        <is>
          <t>No</t>
        </is>
      </c>
      <c r="AS650">
        <f>HYPERLINK("https://creighton-primo.hosted.exlibrisgroup.com/primo-explore/search?tab=default_tab&amp;search_scope=EVERYTHING&amp;vid=01CRU&amp;lang=en_US&amp;offset=0&amp;query=any,contains,991005423189702656","Catalog Record")</f>
        <v/>
      </c>
      <c r="AT650">
        <f>HYPERLINK("http://www.worldcat.org/oclc/34191794","WorldCat Record")</f>
        <v/>
      </c>
      <c r="AU650" t="inlineStr">
        <is>
          <t>290314038:eng</t>
        </is>
      </c>
      <c r="AV650" t="inlineStr">
        <is>
          <t>34191794</t>
        </is>
      </c>
      <c r="AW650" t="inlineStr">
        <is>
          <t>991005423189702656</t>
        </is>
      </c>
      <c r="AX650" t="inlineStr">
        <is>
          <t>991005423189702656</t>
        </is>
      </c>
      <c r="AY650" t="inlineStr">
        <is>
          <t>2258860110002656</t>
        </is>
      </c>
      <c r="AZ650" t="inlineStr">
        <is>
          <t>BOOK</t>
        </is>
      </c>
      <c r="BB650" t="inlineStr">
        <is>
          <t>9780811213233</t>
        </is>
      </c>
      <c r="BC650" t="inlineStr">
        <is>
          <t>32285002291044</t>
        </is>
      </c>
      <c r="BD650" t="inlineStr">
        <is>
          <t>893902707</t>
        </is>
      </c>
    </row>
    <row r="651">
      <c r="A651" t="inlineStr">
        <is>
          <t>No</t>
        </is>
      </c>
      <c r="B651" t="inlineStr">
        <is>
          <t>PL2674 .A247 1999</t>
        </is>
      </c>
      <c r="C651" t="inlineStr">
        <is>
          <t>0                      PL 2674000A  247         1999</t>
        </is>
      </c>
      <c r="D651" t="inlineStr">
        <is>
          <t>The selected poems of Po Chü-I / translated by David Hinton.</t>
        </is>
      </c>
      <c r="F651" t="inlineStr">
        <is>
          <t>No</t>
        </is>
      </c>
      <c r="G651" t="inlineStr">
        <is>
          <t>1</t>
        </is>
      </c>
      <c r="H651" t="inlineStr">
        <is>
          <t>No</t>
        </is>
      </c>
      <c r="I651" t="inlineStr">
        <is>
          <t>No</t>
        </is>
      </c>
      <c r="J651" t="inlineStr">
        <is>
          <t>0</t>
        </is>
      </c>
      <c r="K651" t="inlineStr">
        <is>
          <t>Bai, Juyi, 772-846.</t>
        </is>
      </c>
      <c r="L651" t="inlineStr">
        <is>
          <t>New York : New Directions Pub. Corp., 1999.</t>
        </is>
      </c>
      <c r="M651" t="inlineStr">
        <is>
          <t>1999</t>
        </is>
      </c>
      <c r="O651" t="inlineStr">
        <is>
          <t>eng</t>
        </is>
      </c>
      <c r="P651" t="inlineStr">
        <is>
          <t>nyu</t>
        </is>
      </c>
      <c r="R651" t="inlineStr">
        <is>
          <t xml:space="preserve">PL </t>
        </is>
      </c>
      <c r="S651" t="n">
        <v>3</v>
      </c>
      <c r="T651" t="n">
        <v>3</v>
      </c>
      <c r="U651" t="inlineStr">
        <is>
          <t>2003-10-28</t>
        </is>
      </c>
      <c r="V651" t="inlineStr">
        <is>
          <t>2003-10-28</t>
        </is>
      </c>
      <c r="W651" t="inlineStr">
        <is>
          <t>2000-10-04</t>
        </is>
      </c>
      <c r="X651" t="inlineStr">
        <is>
          <t>2000-10-04</t>
        </is>
      </c>
      <c r="Y651" t="n">
        <v>253</v>
      </c>
      <c r="Z651" t="n">
        <v>226</v>
      </c>
      <c r="AA651" t="n">
        <v>230</v>
      </c>
      <c r="AB651" t="n">
        <v>1</v>
      </c>
      <c r="AC651" t="n">
        <v>1</v>
      </c>
      <c r="AD651" t="n">
        <v>6</v>
      </c>
      <c r="AE651" t="n">
        <v>6</v>
      </c>
      <c r="AF651" t="n">
        <v>2</v>
      </c>
      <c r="AG651" t="n">
        <v>2</v>
      </c>
      <c r="AH651" t="n">
        <v>1</v>
      </c>
      <c r="AI651" t="n">
        <v>1</v>
      </c>
      <c r="AJ651" t="n">
        <v>4</v>
      </c>
      <c r="AK651" t="n">
        <v>4</v>
      </c>
      <c r="AL651" t="n">
        <v>0</v>
      </c>
      <c r="AM651" t="n">
        <v>0</v>
      </c>
      <c r="AN651" t="n">
        <v>0</v>
      </c>
      <c r="AO651" t="n">
        <v>0</v>
      </c>
      <c r="AP651" t="inlineStr">
        <is>
          <t>No</t>
        </is>
      </c>
      <c r="AQ651" t="inlineStr">
        <is>
          <t>No</t>
        </is>
      </c>
      <c r="AS651">
        <f>HYPERLINK("https://creighton-primo.hosted.exlibrisgroup.com/primo-explore/search?tab=default_tab&amp;search_scope=EVERYTHING&amp;vid=01CRU&amp;lang=en_US&amp;offset=0&amp;query=any,contains,991003292109702656","Catalog Record")</f>
        <v/>
      </c>
      <c r="AT651">
        <f>HYPERLINK("http://www.worldcat.org/oclc/40632381","WorldCat Record")</f>
        <v/>
      </c>
      <c r="AU651" t="inlineStr">
        <is>
          <t>203219419:eng</t>
        </is>
      </c>
      <c r="AV651" t="inlineStr">
        <is>
          <t>40632381</t>
        </is>
      </c>
      <c r="AW651" t="inlineStr">
        <is>
          <t>991003292109702656</t>
        </is>
      </c>
      <c r="AX651" t="inlineStr">
        <is>
          <t>991003292109702656</t>
        </is>
      </c>
      <c r="AY651" t="inlineStr">
        <is>
          <t>2268370670002656</t>
        </is>
      </c>
      <c r="AZ651" t="inlineStr">
        <is>
          <t>BOOK</t>
        </is>
      </c>
      <c r="BB651" t="inlineStr">
        <is>
          <t>9780811214124</t>
        </is>
      </c>
      <c r="BC651" t="inlineStr">
        <is>
          <t>32285003766333</t>
        </is>
      </c>
      <c r="BD651" t="inlineStr">
        <is>
          <t>893445599</t>
        </is>
      </c>
    </row>
    <row r="652">
      <c r="A652" t="inlineStr">
        <is>
          <t>No</t>
        </is>
      </c>
      <c r="B652" t="inlineStr">
        <is>
          <t>PL2675 .D3</t>
        </is>
      </c>
      <c r="C652" t="inlineStr">
        <is>
          <t>0                      PL 2675000D  3</t>
        </is>
      </c>
      <c r="D652" t="inlineStr">
        <is>
          <t>Tu Fu / by A. R. Davis.</t>
        </is>
      </c>
      <c r="F652" t="inlineStr">
        <is>
          <t>No</t>
        </is>
      </c>
      <c r="G652" t="inlineStr">
        <is>
          <t>1</t>
        </is>
      </c>
      <c r="H652" t="inlineStr">
        <is>
          <t>No</t>
        </is>
      </c>
      <c r="I652" t="inlineStr">
        <is>
          <t>No</t>
        </is>
      </c>
      <c r="J652" t="inlineStr">
        <is>
          <t>0</t>
        </is>
      </c>
      <c r="K652" t="inlineStr">
        <is>
          <t>Davis, A. R. (Albert Richard), 1924-</t>
        </is>
      </c>
      <c r="L652" t="inlineStr">
        <is>
          <t>New York : Twayne Publishers, [1971]</t>
        </is>
      </c>
      <c r="M652" t="inlineStr">
        <is>
          <t>1971</t>
        </is>
      </c>
      <c r="O652" t="inlineStr">
        <is>
          <t>eng</t>
        </is>
      </c>
      <c r="P652" t="inlineStr">
        <is>
          <t>nyu</t>
        </is>
      </c>
      <c r="Q652" t="inlineStr">
        <is>
          <t>Twayne's world authors series, TWAS 110: China</t>
        </is>
      </c>
      <c r="R652" t="inlineStr">
        <is>
          <t xml:space="preserve">PL </t>
        </is>
      </c>
      <c r="S652" t="n">
        <v>16</v>
      </c>
      <c r="T652" t="n">
        <v>16</v>
      </c>
      <c r="U652" t="inlineStr">
        <is>
          <t>2000-11-12</t>
        </is>
      </c>
      <c r="V652" t="inlineStr">
        <is>
          <t>2000-11-12</t>
        </is>
      </c>
      <c r="W652" t="inlineStr">
        <is>
          <t>1993-12-13</t>
        </is>
      </c>
      <c r="X652" t="inlineStr">
        <is>
          <t>1993-12-13</t>
        </is>
      </c>
      <c r="Y652" t="n">
        <v>595</v>
      </c>
      <c r="Z652" t="n">
        <v>533</v>
      </c>
      <c r="AA652" t="n">
        <v>679</v>
      </c>
      <c r="AB652" t="n">
        <v>2</v>
      </c>
      <c r="AC652" t="n">
        <v>4</v>
      </c>
      <c r="AD652" t="n">
        <v>22</v>
      </c>
      <c r="AE652" t="n">
        <v>27</v>
      </c>
      <c r="AF652" t="n">
        <v>9</v>
      </c>
      <c r="AG652" t="n">
        <v>11</v>
      </c>
      <c r="AH652" t="n">
        <v>5</v>
      </c>
      <c r="AI652" t="n">
        <v>6</v>
      </c>
      <c r="AJ652" t="n">
        <v>12</v>
      </c>
      <c r="AK652" t="n">
        <v>13</v>
      </c>
      <c r="AL652" t="n">
        <v>1</v>
      </c>
      <c r="AM652" t="n">
        <v>3</v>
      </c>
      <c r="AN652" t="n">
        <v>0</v>
      </c>
      <c r="AO652" t="n">
        <v>0</v>
      </c>
      <c r="AP652" t="inlineStr">
        <is>
          <t>No</t>
        </is>
      </c>
      <c r="AQ652" t="inlineStr">
        <is>
          <t>Yes</t>
        </is>
      </c>
      <c r="AR652">
        <f>HYPERLINK("http://catalog.hathitrust.org/Record/001185210","HathiTrust Record")</f>
        <v/>
      </c>
      <c r="AS652">
        <f>HYPERLINK("https://creighton-primo.hosted.exlibrisgroup.com/primo-explore/search?tab=default_tab&amp;search_scope=EVERYTHING&amp;vid=01CRU&amp;lang=en_US&amp;offset=0&amp;query=any,contains,991005353419702656","Catalog Record")</f>
        <v/>
      </c>
      <c r="AT652">
        <f>HYPERLINK("http://www.worldcat.org/oclc/152308","WorldCat Record")</f>
        <v/>
      </c>
      <c r="AU652" t="inlineStr">
        <is>
          <t>1175215:eng</t>
        </is>
      </c>
      <c r="AV652" t="inlineStr">
        <is>
          <t>152308</t>
        </is>
      </c>
      <c r="AW652" t="inlineStr">
        <is>
          <t>991005353419702656</t>
        </is>
      </c>
      <c r="AX652" t="inlineStr">
        <is>
          <t>991005353419702656</t>
        </is>
      </c>
      <c r="AY652" t="inlineStr">
        <is>
          <t>2271919410002656</t>
        </is>
      </c>
      <c r="AZ652" t="inlineStr">
        <is>
          <t>BOOK</t>
        </is>
      </c>
      <c r="BC652" t="inlineStr">
        <is>
          <t>32285001808020</t>
        </is>
      </c>
      <c r="BD652" t="inlineStr">
        <is>
          <t>893777248</t>
        </is>
      </c>
    </row>
    <row r="653">
      <c r="A653" t="inlineStr">
        <is>
          <t>No</t>
        </is>
      </c>
      <c r="B653" t="inlineStr">
        <is>
          <t>PL2675 .H3</t>
        </is>
      </c>
      <c r="C653" t="inlineStr">
        <is>
          <t>0                      PL 2675000H  3</t>
        </is>
      </c>
      <c r="D653" t="inlineStr">
        <is>
          <t>A little primer of Tu Fu.</t>
        </is>
      </c>
      <c r="F653" t="inlineStr">
        <is>
          <t>No</t>
        </is>
      </c>
      <c r="G653" t="inlineStr">
        <is>
          <t>1</t>
        </is>
      </c>
      <c r="H653" t="inlineStr">
        <is>
          <t>No</t>
        </is>
      </c>
      <c r="I653" t="inlineStr">
        <is>
          <t>No</t>
        </is>
      </c>
      <c r="J653" t="inlineStr">
        <is>
          <t>0</t>
        </is>
      </c>
      <c r="K653" t="inlineStr">
        <is>
          <t>Hawkes, David.</t>
        </is>
      </c>
      <c r="L653" t="inlineStr">
        <is>
          <t>Oxford : Clarendon P., 1967.</t>
        </is>
      </c>
      <c r="M653" t="inlineStr">
        <is>
          <t>1967</t>
        </is>
      </c>
      <c r="O653" t="inlineStr">
        <is>
          <t>eng</t>
        </is>
      </c>
      <c r="P653" t="inlineStr">
        <is>
          <t>enk</t>
        </is>
      </c>
      <c r="R653" t="inlineStr">
        <is>
          <t xml:space="preserve">PL </t>
        </is>
      </c>
      <c r="S653" t="n">
        <v>10</v>
      </c>
      <c r="T653" t="n">
        <v>10</v>
      </c>
      <c r="U653" t="inlineStr">
        <is>
          <t>1999-02-25</t>
        </is>
      </c>
      <c r="V653" t="inlineStr">
        <is>
          <t>1999-02-25</t>
        </is>
      </c>
      <c r="W653" t="inlineStr">
        <is>
          <t>1994-09-27</t>
        </is>
      </c>
      <c r="X653" t="inlineStr">
        <is>
          <t>1994-09-27</t>
        </is>
      </c>
      <c r="Y653" t="n">
        <v>311</v>
      </c>
      <c r="Z653" t="n">
        <v>242</v>
      </c>
      <c r="AA653" t="n">
        <v>461</v>
      </c>
      <c r="AB653" t="n">
        <v>2</v>
      </c>
      <c r="AC653" t="n">
        <v>3</v>
      </c>
      <c r="AD653" t="n">
        <v>11</v>
      </c>
      <c r="AE653" t="n">
        <v>25</v>
      </c>
      <c r="AF653" t="n">
        <v>3</v>
      </c>
      <c r="AG653" t="n">
        <v>11</v>
      </c>
      <c r="AH653" t="n">
        <v>3</v>
      </c>
      <c r="AI653" t="n">
        <v>7</v>
      </c>
      <c r="AJ653" t="n">
        <v>7</v>
      </c>
      <c r="AK653" t="n">
        <v>10</v>
      </c>
      <c r="AL653" t="n">
        <v>1</v>
      </c>
      <c r="AM653" t="n">
        <v>2</v>
      </c>
      <c r="AN653" t="n">
        <v>0</v>
      </c>
      <c r="AO653" t="n">
        <v>0</v>
      </c>
      <c r="AP653" t="inlineStr">
        <is>
          <t>No</t>
        </is>
      </c>
      <c r="AQ653" t="inlineStr">
        <is>
          <t>Yes</t>
        </is>
      </c>
      <c r="AR653">
        <f>HYPERLINK("http://catalog.hathitrust.org/Record/001185211","HathiTrust Record")</f>
        <v/>
      </c>
      <c r="AS653">
        <f>HYPERLINK("https://creighton-primo.hosted.exlibrisgroup.com/primo-explore/search?tab=default_tab&amp;search_scope=EVERYTHING&amp;vid=01CRU&amp;lang=en_US&amp;offset=0&amp;query=any,contains,991003315449702656","Catalog Record")</f>
        <v/>
      </c>
      <c r="AT653">
        <f>HYPERLINK("http://www.worldcat.org/oclc/840365","WorldCat Record")</f>
        <v/>
      </c>
      <c r="AU653" t="inlineStr">
        <is>
          <t>1780386:eng</t>
        </is>
      </c>
      <c r="AV653" t="inlineStr">
        <is>
          <t>840365</t>
        </is>
      </c>
      <c r="AW653" t="inlineStr">
        <is>
          <t>991003315449702656</t>
        </is>
      </c>
      <c r="AX653" t="inlineStr">
        <is>
          <t>991003315449702656</t>
        </is>
      </c>
      <c r="AY653" t="inlineStr">
        <is>
          <t>2264402600002656</t>
        </is>
      </c>
      <c r="AZ653" t="inlineStr">
        <is>
          <t>BOOK</t>
        </is>
      </c>
      <c r="BC653" t="inlineStr">
        <is>
          <t>32285001952190</t>
        </is>
      </c>
      <c r="BD653" t="inlineStr">
        <is>
          <t>893330199</t>
        </is>
      </c>
    </row>
    <row r="654">
      <c r="A654" t="inlineStr">
        <is>
          <t>No</t>
        </is>
      </c>
      <c r="B654" t="inlineStr">
        <is>
          <t>PL2677.H3 A27 1970b</t>
        </is>
      </c>
      <c r="C654" t="inlineStr">
        <is>
          <t>0                      PL 2677000H  3                  A  27          1970b</t>
        </is>
      </c>
      <c r="D654" t="inlineStr">
        <is>
          <t>Cold mountain; 100 poems by the Tʻang poet Han-shan. Translated and with an introd. by Burton Watson.</t>
        </is>
      </c>
      <c r="F654" t="inlineStr">
        <is>
          <t>No</t>
        </is>
      </c>
      <c r="G654" t="inlineStr">
        <is>
          <t>1</t>
        </is>
      </c>
      <c r="H654" t="inlineStr">
        <is>
          <t>No</t>
        </is>
      </c>
      <c r="I654" t="inlineStr">
        <is>
          <t>No</t>
        </is>
      </c>
      <c r="J654" t="inlineStr">
        <is>
          <t>0</t>
        </is>
      </c>
      <c r="K654" t="inlineStr">
        <is>
          <t>Hanshan, active 627-649.</t>
        </is>
      </c>
      <c r="L654" t="inlineStr">
        <is>
          <t>New York, Columbia University Press [1970]</t>
        </is>
      </c>
      <c r="M654" t="inlineStr">
        <is>
          <t>1970</t>
        </is>
      </c>
      <c r="O654" t="inlineStr">
        <is>
          <t>eng</t>
        </is>
      </c>
      <c r="P654" t="inlineStr">
        <is>
          <t>nyu</t>
        </is>
      </c>
      <c r="Q654" t="inlineStr">
        <is>
          <t>UNESCO collection of representative works. Chinese series</t>
        </is>
      </c>
      <c r="R654" t="inlineStr">
        <is>
          <t xml:space="preserve">PL </t>
        </is>
      </c>
      <c r="S654" t="n">
        <v>5</v>
      </c>
      <c r="T654" t="n">
        <v>5</v>
      </c>
      <c r="U654" t="inlineStr">
        <is>
          <t>1997-11-03</t>
        </is>
      </c>
      <c r="V654" t="inlineStr">
        <is>
          <t>1997-11-03</t>
        </is>
      </c>
      <c r="W654" t="inlineStr">
        <is>
          <t>1997-09-17</t>
        </is>
      </c>
      <c r="X654" t="inlineStr">
        <is>
          <t>1997-09-17</t>
        </is>
      </c>
      <c r="Y654" t="n">
        <v>585</v>
      </c>
      <c r="Z654" t="n">
        <v>527</v>
      </c>
      <c r="AA654" t="n">
        <v>544</v>
      </c>
      <c r="AB654" t="n">
        <v>2</v>
      </c>
      <c r="AC654" t="n">
        <v>2</v>
      </c>
      <c r="AD654" t="n">
        <v>23</v>
      </c>
      <c r="AE654" t="n">
        <v>23</v>
      </c>
      <c r="AF654" t="n">
        <v>10</v>
      </c>
      <c r="AG654" t="n">
        <v>10</v>
      </c>
      <c r="AH654" t="n">
        <v>5</v>
      </c>
      <c r="AI654" t="n">
        <v>5</v>
      </c>
      <c r="AJ654" t="n">
        <v>13</v>
      </c>
      <c r="AK654" t="n">
        <v>13</v>
      </c>
      <c r="AL654" t="n">
        <v>1</v>
      </c>
      <c r="AM654" t="n">
        <v>1</v>
      </c>
      <c r="AN654" t="n">
        <v>0</v>
      </c>
      <c r="AO654" t="n">
        <v>0</v>
      </c>
      <c r="AP654" t="inlineStr">
        <is>
          <t>No</t>
        </is>
      </c>
      <c r="AQ654" t="inlineStr">
        <is>
          <t>No</t>
        </is>
      </c>
      <c r="AS654">
        <f>HYPERLINK("https://creighton-primo.hosted.exlibrisgroup.com/primo-explore/search?tab=default_tab&amp;search_scope=EVERYTHING&amp;vid=01CRU&amp;lang=en_US&amp;offset=0&amp;query=any,contains,991000655219702656","Catalog Record")</f>
        <v/>
      </c>
      <c r="AT654">
        <f>HYPERLINK("http://www.worldcat.org/oclc/115045","WorldCat Record")</f>
        <v/>
      </c>
      <c r="AU654" t="inlineStr">
        <is>
          <t>5481376592:eng</t>
        </is>
      </c>
      <c r="AV654" t="inlineStr">
        <is>
          <t>115045</t>
        </is>
      </c>
      <c r="AW654" t="inlineStr">
        <is>
          <t>991000655219702656</t>
        </is>
      </c>
      <c r="AX654" t="inlineStr">
        <is>
          <t>991000655219702656</t>
        </is>
      </c>
      <c r="AY654" t="inlineStr">
        <is>
          <t>2260028230002656</t>
        </is>
      </c>
      <c r="AZ654" t="inlineStr">
        <is>
          <t>BOOK</t>
        </is>
      </c>
      <c r="BB654" t="inlineStr">
        <is>
          <t>9780231034494</t>
        </is>
      </c>
      <c r="BC654" t="inlineStr">
        <is>
          <t>32285003235032</t>
        </is>
      </c>
      <c r="BD654" t="inlineStr">
        <is>
          <t>893683634</t>
        </is>
      </c>
    </row>
    <row r="655">
      <c r="A655" t="inlineStr">
        <is>
          <t>No</t>
        </is>
      </c>
      <c r="B655" t="inlineStr">
        <is>
          <t>PL2677.L5 Z88</t>
        </is>
      </c>
      <c r="C655" t="inlineStr">
        <is>
          <t>0                      PL 2677000L  5                  Z  88</t>
        </is>
      </c>
      <c r="D655" t="inlineStr">
        <is>
          <t>Li Ho / by Kuo-chʻing Tu.</t>
        </is>
      </c>
      <c r="F655" t="inlineStr">
        <is>
          <t>No</t>
        </is>
      </c>
      <c r="G655" t="inlineStr">
        <is>
          <t>1</t>
        </is>
      </c>
      <c r="H655" t="inlineStr">
        <is>
          <t>No</t>
        </is>
      </c>
      <c r="I655" t="inlineStr">
        <is>
          <t>No</t>
        </is>
      </c>
      <c r="J655" t="inlineStr">
        <is>
          <t>0</t>
        </is>
      </c>
      <c r="K655" t="inlineStr">
        <is>
          <t>Du, Guoqing, 1941-</t>
        </is>
      </c>
      <c r="L655" t="inlineStr">
        <is>
          <t>Boston : Twayne Publishers, 1979.</t>
        </is>
      </c>
      <c r="M655" t="inlineStr">
        <is>
          <t>1979</t>
        </is>
      </c>
      <c r="O655" t="inlineStr">
        <is>
          <t>eng</t>
        </is>
      </c>
      <c r="P655" t="inlineStr">
        <is>
          <t>mau</t>
        </is>
      </c>
      <c r="Q655" t="inlineStr">
        <is>
          <t>Twayne's world authors series ; TWAS 537 : China</t>
        </is>
      </c>
      <c r="R655" t="inlineStr">
        <is>
          <t xml:space="preserve">PL </t>
        </is>
      </c>
      <c r="S655" t="n">
        <v>2</v>
      </c>
      <c r="T655" t="n">
        <v>2</v>
      </c>
      <c r="U655" t="inlineStr">
        <is>
          <t>1995-10-23</t>
        </is>
      </c>
      <c r="V655" t="inlineStr">
        <is>
          <t>1995-10-23</t>
        </is>
      </c>
      <c r="W655" t="inlineStr">
        <is>
          <t>1993-05-05</t>
        </is>
      </c>
      <c r="X655" t="inlineStr">
        <is>
          <t>1993-05-05</t>
        </is>
      </c>
      <c r="Y655" t="n">
        <v>454</v>
      </c>
      <c r="Z655" t="n">
        <v>410</v>
      </c>
      <c r="AA655" t="n">
        <v>417</v>
      </c>
      <c r="AB655" t="n">
        <v>4</v>
      </c>
      <c r="AC655" t="n">
        <v>4</v>
      </c>
      <c r="AD655" t="n">
        <v>16</v>
      </c>
      <c r="AE655" t="n">
        <v>16</v>
      </c>
      <c r="AF655" t="n">
        <v>6</v>
      </c>
      <c r="AG655" t="n">
        <v>6</v>
      </c>
      <c r="AH655" t="n">
        <v>4</v>
      </c>
      <c r="AI655" t="n">
        <v>4</v>
      </c>
      <c r="AJ655" t="n">
        <v>8</v>
      </c>
      <c r="AK655" t="n">
        <v>8</v>
      </c>
      <c r="AL655" t="n">
        <v>3</v>
      </c>
      <c r="AM655" t="n">
        <v>3</v>
      </c>
      <c r="AN655" t="n">
        <v>0</v>
      </c>
      <c r="AO655" t="n">
        <v>0</v>
      </c>
      <c r="AP655" t="inlineStr">
        <is>
          <t>No</t>
        </is>
      </c>
      <c r="AQ655" t="inlineStr">
        <is>
          <t>Yes</t>
        </is>
      </c>
      <c r="AR655">
        <f>HYPERLINK("http://catalog.hathitrust.org/Record/000709884","HathiTrust Record")</f>
        <v/>
      </c>
      <c r="AS655">
        <f>HYPERLINK("https://creighton-primo.hosted.exlibrisgroup.com/primo-explore/search?tab=default_tab&amp;search_scope=EVERYTHING&amp;vid=01CRU&amp;lang=en_US&amp;offset=0&amp;query=any,contains,991004688189702656","Catalog Record")</f>
        <v/>
      </c>
      <c r="AT655">
        <f>HYPERLINK("http://www.worldcat.org/oclc/4593568","WorldCat Record")</f>
        <v/>
      </c>
      <c r="AU655" t="inlineStr">
        <is>
          <t>14927336:eng</t>
        </is>
      </c>
      <c r="AV655" t="inlineStr">
        <is>
          <t>4593568</t>
        </is>
      </c>
      <c r="AW655" t="inlineStr">
        <is>
          <t>991004688189702656</t>
        </is>
      </c>
      <c r="AX655" t="inlineStr">
        <is>
          <t>991004688189702656</t>
        </is>
      </c>
      <c r="AY655" t="inlineStr">
        <is>
          <t>2271311280002656</t>
        </is>
      </c>
      <c r="AZ655" t="inlineStr">
        <is>
          <t>BOOK</t>
        </is>
      </c>
      <c r="BB655" t="inlineStr">
        <is>
          <t>9780805763799</t>
        </is>
      </c>
      <c r="BC655" t="inlineStr">
        <is>
          <t>32285001672392</t>
        </is>
      </c>
      <c r="BD655" t="inlineStr">
        <is>
          <t>893795152</t>
        </is>
      </c>
    </row>
    <row r="656">
      <c r="A656" t="inlineStr">
        <is>
          <t>No</t>
        </is>
      </c>
      <c r="B656" t="inlineStr">
        <is>
          <t>PL2677.M45 Z73</t>
        </is>
      </c>
      <c r="C656" t="inlineStr">
        <is>
          <t>0                      PL 2677000M  45                 Z  73</t>
        </is>
      </c>
      <c r="D656" t="inlineStr">
        <is>
          <t>Meng Hao-Jan / by Paul W. Kroll.</t>
        </is>
      </c>
      <c r="F656" t="inlineStr">
        <is>
          <t>No</t>
        </is>
      </c>
      <c r="G656" t="inlineStr">
        <is>
          <t>1</t>
        </is>
      </c>
      <c r="H656" t="inlineStr">
        <is>
          <t>No</t>
        </is>
      </c>
      <c r="I656" t="inlineStr">
        <is>
          <t>No</t>
        </is>
      </c>
      <c r="J656" t="inlineStr">
        <is>
          <t>0</t>
        </is>
      </c>
      <c r="K656" t="inlineStr">
        <is>
          <t>Kroll, Paul W., 1948-</t>
        </is>
      </c>
      <c r="L656" t="inlineStr">
        <is>
          <t>Boston : Twayne, 1981.</t>
        </is>
      </c>
      <c r="M656" t="inlineStr">
        <is>
          <t>1981</t>
        </is>
      </c>
      <c r="O656" t="inlineStr">
        <is>
          <t>eng</t>
        </is>
      </c>
      <c r="P656" t="inlineStr">
        <is>
          <t>mau</t>
        </is>
      </c>
      <c r="Q656" t="inlineStr">
        <is>
          <t>Twayne's world authors series ; TWAS 628. China</t>
        </is>
      </c>
      <c r="R656" t="inlineStr">
        <is>
          <t xml:space="preserve">PL </t>
        </is>
      </c>
      <c r="S656" t="n">
        <v>1</v>
      </c>
      <c r="T656" t="n">
        <v>1</v>
      </c>
      <c r="U656" t="inlineStr">
        <is>
          <t>2006-10-09</t>
        </is>
      </c>
      <c r="V656" t="inlineStr">
        <is>
          <t>2006-10-09</t>
        </is>
      </c>
      <c r="W656" t="inlineStr">
        <is>
          <t>1993-05-05</t>
        </is>
      </c>
      <c r="X656" t="inlineStr">
        <is>
          <t>1993-05-05</t>
        </is>
      </c>
      <c r="Y656" t="n">
        <v>349</v>
      </c>
      <c r="Z656" t="n">
        <v>305</v>
      </c>
      <c r="AA656" t="n">
        <v>311</v>
      </c>
      <c r="AB656" t="n">
        <v>4</v>
      </c>
      <c r="AC656" t="n">
        <v>4</v>
      </c>
      <c r="AD656" t="n">
        <v>14</v>
      </c>
      <c r="AE656" t="n">
        <v>14</v>
      </c>
      <c r="AF656" t="n">
        <v>7</v>
      </c>
      <c r="AG656" t="n">
        <v>7</v>
      </c>
      <c r="AH656" t="n">
        <v>1</v>
      </c>
      <c r="AI656" t="n">
        <v>1</v>
      </c>
      <c r="AJ656" t="n">
        <v>7</v>
      </c>
      <c r="AK656" t="n">
        <v>7</v>
      </c>
      <c r="AL656" t="n">
        <v>3</v>
      </c>
      <c r="AM656" t="n">
        <v>3</v>
      </c>
      <c r="AN656" t="n">
        <v>0</v>
      </c>
      <c r="AO656" t="n">
        <v>0</v>
      </c>
      <c r="AP656" t="inlineStr">
        <is>
          <t>No</t>
        </is>
      </c>
      <c r="AQ656" t="inlineStr">
        <is>
          <t>Yes</t>
        </is>
      </c>
      <c r="AR656">
        <f>HYPERLINK("http://catalog.hathitrust.org/Record/000099191","HathiTrust Record")</f>
        <v/>
      </c>
      <c r="AS656">
        <f>HYPERLINK("https://creighton-primo.hosted.exlibrisgroup.com/primo-explore/search?tab=default_tab&amp;search_scope=EVERYTHING&amp;vid=01CRU&amp;lang=en_US&amp;offset=0&amp;query=any,contains,991005103159702656","Catalog Record")</f>
        <v/>
      </c>
      <c r="AT656">
        <f>HYPERLINK("http://www.worldcat.org/oclc/7307257","WorldCat Record")</f>
        <v/>
      </c>
      <c r="AU656" t="inlineStr">
        <is>
          <t>461507:eng</t>
        </is>
      </c>
      <c r="AV656" t="inlineStr">
        <is>
          <t>7307257</t>
        </is>
      </c>
      <c r="AW656" t="inlineStr">
        <is>
          <t>991005103159702656</t>
        </is>
      </c>
      <c r="AX656" t="inlineStr">
        <is>
          <t>991005103159702656</t>
        </is>
      </c>
      <c r="AY656" t="inlineStr">
        <is>
          <t>2259545260002656</t>
        </is>
      </c>
      <c r="AZ656" t="inlineStr">
        <is>
          <t>BOOK</t>
        </is>
      </c>
      <c r="BB656" t="inlineStr">
        <is>
          <t>9780805764703</t>
        </is>
      </c>
      <c r="BC656" t="inlineStr">
        <is>
          <t>32285001672400</t>
        </is>
      </c>
      <c r="BD656" t="inlineStr">
        <is>
          <t>893713446</t>
        </is>
      </c>
    </row>
    <row r="657">
      <c r="A657" t="inlineStr">
        <is>
          <t>No</t>
        </is>
      </c>
      <c r="B657" t="inlineStr">
        <is>
          <t>PL2682 .A27 1979</t>
        </is>
      </c>
      <c r="C657" t="inlineStr">
        <is>
          <t>0                      PL 2682000A  27          1979</t>
        </is>
      </c>
      <c r="D657" t="inlineStr">
        <is>
          <t>Li Chʻing-chao, complete poems / translated [from the Chinese] and edited by Kenneth Rexroth and Ling Chung.</t>
        </is>
      </c>
      <c r="F657" t="inlineStr">
        <is>
          <t>No</t>
        </is>
      </c>
      <c r="G657" t="inlineStr">
        <is>
          <t>1</t>
        </is>
      </c>
      <c r="H657" t="inlineStr">
        <is>
          <t>No</t>
        </is>
      </c>
      <c r="I657" t="inlineStr">
        <is>
          <t>No</t>
        </is>
      </c>
      <c r="J657" t="inlineStr">
        <is>
          <t>0</t>
        </is>
      </c>
      <c r="K657" t="inlineStr">
        <is>
          <t>Li, Qingzhao, 1081-approximately 1141.</t>
        </is>
      </c>
      <c r="L657" t="inlineStr">
        <is>
          <t>New York : New Directions, c1979.</t>
        </is>
      </c>
      <c r="M657" t="inlineStr">
        <is>
          <t>1979</t>
        </is>
      </c>
      <c r="O657" t="inlineStr">
        <is>
          <t>eng</t>
        </is>
      </c>
      <c r="P657" t="inlineStr">
        <is>
          <t>nyu</t>
        </is>
      </c>
      <c r="R657" t="inlineStr">
        <is>
          <t xml:space="preserve">PL </t>
        </is>
      </c>
      <c r="S657" t="n">
        <v>3</v>
      </c>
      <c r="T657" t="n">
        <v>3</v>
      </c>
      <c r="U657" t="inlineStr">
        <is>
          <t>1998-05-01</t>
        </is>
      </c>
      <c r="V657" t="inlineStr">
        <is>
          <t>1998-05-01</t>
        </is>
      </c>
      <c r="W657" t="inlineStr">
        <is>
          <t>1997-05-06</t>
        </is>
      </c>
      <c r="X657" t="inlineStr">
        <is>
          <t>1997-05-06</t>
        </is>
      </c>
      <c r="Y657" t="n">
        <v>447</v>
      </c>
      <c r="Z657" t="n">
        <v>409</v>
      </c>
      <c r="AA657" t="n">
        <v>411</v>
      </c>
      <c r="AB657" t="n">
        <v>4</v>
      </c>
      <c r="AC657" t="n">
        <v>4</v>
      </c>
      <c r="AD657" t="n">
        <v>16</v>
      </c>
      <c r="AE657" t="n">
        <v>16</v>
      </c>
      <c r="AF657" t="n">
        <v>6</v>
      </c>
      <c r="AG657" t="n">
        <v>6</v>
      </c>
      <c r="AH657" t="n">
        <v>4</v>
      </c>
      <c r="AI657" t="n">
        <v>4</v>
      </c>
      <c r="AJ657" t="n">
        <v>8</v>
      </c>
      <c r="AK657" t="n">
        <v>8</v>
      </c>
      <c r="AL657" t="n">
        <v>3</v>
      </c>
      <c r="AM657" t="n">
        <v>3</v>
      </c>
      <c r="AN657" t="n">
        <v>0</v>
      </c>
      <c r="AO657" t="n">
        <v>0</v>
      </c>
      <c r="AP657" t="inlineStr">
        <is>
          <t>No</t>
        </is>
      </c>
      <c r="AQ657" t="inlineStr">
        <is>
          <t>No</t>
        </is>
      </c>
      <c r="AS657">
        <f>HYPERLINK("https://creighton-primo.hosted.exlibrisgroup.com/primo-explore/search?tab=default_tab&amp;search_scope=EVERYTHING&amp;vid=01CRU&amp;lang=en_US&amp;offset=0&amp;query=any,contains,991004938169702656","Catalog Record")</f>
        <v/>
      </c>
      <c r="AT657">
        <f>HYPERLINK("http://www.worldcat.org/oclc/6144817","WorldCat Record")</f>
        <v/>
      </c>
      <c r="AU657" t="inlineStr">
        <is>
          <t>3902141692:eng</t>
        </is>
      </c>
      <c r="AV657" t="inlineStr">
        <is>
          <t>6144817</t>
        </is>
      </c>
      <c r="AW657" t="inlineStr">
        <is>
          <t>991004938169702656</t>
        </is>
      </c>
      <c r="AX657" t="inlineStr">
        <is>
          <t>991004938169702656</t>
        </is>
      </c>
      <c r="AY657" t="inlineStr">
        <is>
          <t>2260522940002656</t>
        </is>
      </c>
      <c r="AZ657" t="inlineStr">
        <is>
          <t>BOOK</t>
        </is>
      </c>
      <c r="BB657" t="inlineStr">
        <is>
          <t>9780811207447</t>
        </is>
      </c>
      <c r="BC657" t="inlineStr">
        <is>
          <t>32285002544616</t>
        </is>
      </c>
      <c r="BD657" t="inlineStr">
        <is>
          <t>893612938</t>
        </is>
      </c>
    </row>
    <row r="658">
      <c r="A658" t="inlineStr">
        <is>
          <t>No</t>
        </is>
      </c>
      <c r="B658" t="inlineStr">
        <is>
          <t>PL2682.Z5 H8</t>
        </is>
      </c>
      <c r="C658" t="inlineStr">
        <is>
          <t>0                      PL 2682000Z  5                  H  8</t>
        </is>
      </c>
      <c r="D658" t="inlineStr">
        <is>
          <t>Li Chʻing-chao.</t>
        </is>
      </c>
      <c r="F658" t="inlineStr">
        <is>
          <t>No</t>
        </is>
      </c>
      <c r="G658" t="inlineStr">
        <is>
          <t>1</t>
        </is>
      </c>
      <c r="H658" t="inlineStr">
        <is>
          <t>No</t>
        </is>
      </c>
      <c r="I658" t="inlineStr">
        <is>
          <t>No</t>
        </is>
      </c>
      <c r="J658" t="inlineStr">
        <is>
          <t>0</t>
        </is>
      </c>
      <c r="K658" t="inlineStr">
        <is>
          <t>Hu, Pinqing, 1920-</t>
        </is>
      </c>
      <c r="L658" t="inlineStr">
        <is>
          <t>New York, Twayne Publishers [1966]</t>
        </is>
      </c>
      <c r="M658" t="inlineStr">
        <is>
          <t>1966</t>
        </is>
      </c>
      <c r="O658" t="inlineStr">
        <is>
          <t>eng</t>
        </is>
      </c>
      <c r="P658" t="inlineStr">
        <is>
          <t>nyu</t>
        </is>
      </c>
      <c r="Q658" t="inlineStr">
        <is>
          <t>Twayne's world authors series, 5. China</t>
        </is>
      </c>
      <c r="R658" t="inlineStr">
        <is>
          <t xml:space="preserve">PL </t>
        </is>
      </c>
      <c r="S658" t="n">
        <v>1</v>
      </c>
      <c r="T658" t="n">
        <v>1</v>
      </c>
      <c r="U658" t="inlineStr">
        <is>
          <t>2003-10-02</t>
        </is>
      </c>
      <c r="V658" t="inlineStr">
        <is>
          <t>2003-10-02</t>
        </is>
      </c>
      <c r="W658" t="inlineStr">
        <is>
          <t>1997-10-23</t>
        </is>
      </c>
      <c r="X658" t="inlineStr">
        <is>
          <t>1997-10-23</t>
        </is>
      </c>
      <c r="Y658" t="n">
        <v>633</v>
      </c>
      <c r="Z658" t="n">
        <v>596</v>
      </c>
      <c r="AA658" t="n">
        <v>616</v>
      </c>
      <c r="AB658" t="n">
        <v>5</v>
      </c>
      <c r="AC658" t="n">
        <v>5</v>
      </c>
      <c r="AD658" t="n">
        <v>19</v>
      </c>
      <c r="AE658" t="n">
        <v>22</v>
      </c>
      <c r="AF658" t="n">
        <v>5</v>
      </c>
      <c r="AG658" t="n">
        <v>6</v>
      </c>
      <c r="AH658" t="n">
        <v>3</v>
      </c>
      <c r="AI658" t="n">
        <v>5</v>
      </c>
      <c r="AJ658" t="n">
        <v>12</v>
      </c>
      <c r="AK658" t="n">
        <v>13</v>
      </c>
      <c r="AL658" t="n">
        <v>4</v>
      </c>
      <c r="AM658" t="n">
        <v>4</v>
      </c>
      <c r="AN658" t="n">
        <v>0</v>
      </c>
      <c r="AO658" t="n">
        <v>0</v>
      </c>
      <c r="AP658" t="inlineStr">
        <is>
          <t>No</t>
        </is>
      </c>
      <c r="AQ658" t="inlineStr">
        <is>
          <t>Yes</t>
        </is>
      </c>
      <c r="AR658">
        <f>HYPERLINK("http://catalog.hathitrust.org/Record/001185217","HathiTrust Record")</f>
        <v/>
      </c>
      <c r="AS658">
        <f>HYPERLINK("https://creighton-primo.hosted.exlibrisgroup.com/primo-explore/search?tab=default_tab&amp;search_scope=EVERYTHING&amp;vid=01CRU&amp;lang=en_US&amp;offset=0&amp;query=any,contains,991003143939702656","Catalog Record")</f>
        <v/>
      </c>
      <c r="AT658">
        <f>HYPERLINK("http://www.worldcat.org/oclc/685073","WorldCat Record")</f>
        <v/>
      </c>
      <c r="AU658" t="inlineStr">
        <is>
          <t>1765459:eng</t>
        </is>
      </c>
      <c r="AV658" t="inlineStr">
        <is>
          <t>685073</t>
        </is>
      </c>
      <c r="AW658" t="inlineStr">
        <is>
          <t>991003143939702656</t>
        </is>
      </c>
      <c r="AX658" t="inlineStr">
        <is>
          <t>991003143939702656</t>
        </is>
      </c>
      <c r="AY658" t="inlineStr">
        <is>
          <t>2264470740002656</t>
        </is>
      </c>
      <c r="AZ658" t="inlineStr">
        <is>
          <t>BOOK</t>
        </is>
      </c>
      <c r="BC658" t="inlineStr">
        <is>
          <t>32285003257887</t>
        </is>
      </c>
      <c r="BD658" t="inlineStr">
        <is>
          <t>893598316</t>
        </is>
      </c>
    </row>
    <row r="659">
      <c r="A659" t="inlineStr">
        <is>
          <t>No</t>
        </is>
      </c>
      <c r="B659" t="inlineStr">
        <is>
          <t>PL2694.K783 Z78</t>
        </is>
      </c>
      <c r="C659" t="inlineStr">
        <is>
          <t>0                      PL 2694000K  783                Z  78</t>
        </is>
      </c>
      <c r="D659" t="inlineStr">
        <is>
          <t>Kuan Yün Shih / by Richard John Lynn.</t>
        </is>
      </c>
      <c r="F659" t="inlineStr">
        <is>
          <t>No</t>
        </is>
      </c>
      <c r="G659" t="inlineStr">
        <is>
          <t>1</t>
        </is>
      </c>
      <c r="H659" t="inlineStr">
        <is>
          <t>No</t>
        </is>
      </c>
      <c r="I659" t="inlineStr">
        <is>
          <t>No</t>
        </is>
      </c>
      <c r="J659" t="inlineStr">
        <is>
          <t>0</t>
        </is>
      </c>
      <c r="K659" t="inlineStr">
        <is>
          <t>Lynn, Richard John.</t>
        </is>
      </c>
      <c r="L659" t="inlineStr">
        <is>
          <t>Boston : Twayne Publishers, 1980.</t>
        </is>
      </c>
      <c r="M659" t="inlineStr">
        <is>
          <t>1980</t>
        </is>
      </c>
      <c r="O659" t="inlineStr">
        <is>
          <t>eng</t>
        </is>
      </c>
      <c r="P659" t="inlineStr">
        <is>
          <t>mau</t>
        </is>
      </c>
      <c r="Q659" t="inlineStr">
        <is>
          <t>Twayne's world authors series ; TWAS 562 : China</t>
        </is>
      </c>
      <c r="R659" t="inlineStr">
        <is>
          <t xml:space="preserve">PL </t>
        </is>
      </c>
      <c r="S659" t="n">
        <v>2</v>
      </c>
      <c r="T659" t="n">
        <v>2</v>
      </c>
      <c r="U659" t="inlineStr">
        <is>
          <t>1995-10-24</t>
        </is>
      </c>
      <c r="V659" t="inlineStr">
        <is>
          <t>1995-10-24</t>
        </is>
      </c>
      <c r="W659" t="inlineStr">
        <is>
          <t>1993-05-05</t>
        </is>
      </c>
      <c r="X659" t="inlineStr">
        <is>
          <t>1993-05-05</t>
        </is>
      </c>
      <c r="Y659" t="n">
        <v>374</v>
      </c>
      <c r="Z659" t="n">
        <v>336</v>
      </c>
      <c r="AA659" t="n">
        <v>343</v>
      </c>
      <c r="AB659" t="n">
        <v>3</v>
      </c>
      <c r="AC659" t="n">
        <v>3</v>
      </c>
      <c r="AD659" t="n">
        <v>15</v>
      </c>
      <c r="AE659" t="n">
        <v>15</v>
      </c>
      <c r="AF659" t="n">
        <v>7</v>
      </c>
      <c r="AG659" t="n">
        <v>7</v>
      </c>
      <c r="AH659" t="n">
        <v>3</v>
      </c>
      <c r="AI659" t="n">
        <v>3</v>
      </c>
      <c r="AJ659" t="n">
        <v>7</v>
      </c>
      <c r="AK659" t="n">
        <v>7</v>
      </c>
      <c r="AL659" t="n">
        <v>2</v>
      </c>
      <c r="AM659" t="n">
        <v>2</v>
      </c>
      <c r="AN659" t="n">
        <v>0</v>
      </c>
      <c r="AO659" t="n">
        <v>0</v>
      </c>
      <c r="AP659" t="inlineStr">
        <is>
          <t>No</t>
        </is>
      </c>
      <c r="AQ659" t="inlineStr">
        <is>
          <t>Yes</t>
        </is>
      </c>
      <c r="AR659">
        <f>HYPERLINK("http://catalog.hathitrust.org/Record/000020648","HathiTrust Record")</f>
        <v/>
      </c>
      <c r="AS659">
        <f>HYPERLINK("https://creighton-primo.hosted.exlibrisgroup.com/primo-explore/search?tab=default_tab&amp;search_scope=EVERYTHING&amp;vid=01CRU&amp;lang=en_US&amp;offset=0&amp;query=any,contains,991004840439702656","Catalog Record")</f>
        <v/>
      </c>
      <c r="AT659">
        <f>HYPERLINK("http://www.worldcat.org/oclc/5496904","WorldCat Record")</f>
        <v/>
      </c>
      <c r="AU659" t="inlineStr">
        <is>
          <t>461480:eng</t>
        </is>
      </c>
      <c r="AV659" t="inlineStr">
        <is>
          <t>5496904</t>
        </is>
      </c>
      <c r="AW659" t="inlineStr">
        <is>
          <t>991004840439702656</t>
        </is>
      </c>
      <c r="AX659" t="inlineStr">
        <is>
          <t>991004840439702656</t>
        </is>
      </c>
      <c r="AY659" t="inlineStr">
        <is>
          <t>2266300210002656</t>
        </is>
      </c>
      <c r="AZ659" t="inlineStr">
        <is>
          <t>BOOK</t>
        </is>
      </c>
      <c r="BB659" t="inlineStr">
        <is>
          <t>9780805764048</t>
        </is>
      </c>
      <c r="BC659" t="inlineStr">
        <is>
          <t>32285001672434</t>
        </is>
      </c>
      <c r="BD659" t="inlineStr">
        <is>
          <t>893229900</t>
        </is>
      </c>
    </row>
    <row r="660">
      <c r="A660" t="inlineStr">
        <is>
          <t>No</t>
        </is>
      </c>
      <c r="B660" t="inlineStr">
        <is>
          <t>PL2697.H75 E596 1980</t>
        </is>
      </c>
      <c r="C660" t="inlineStr">
        <is>
          <t>0                      PL 2697000H  75                 E  596         1980</t>
        </is>
      </c>
      <c r="D660" t="inlineStr">
        <is>
          <t>The journey to the west / translated and edited by Anthony C. Yu.</t>
        </is>
      </c>
      <c r="E660" t="inlineStr">
        <is>
          <t>V.2</t>
        </is>
      </c>
      <c r="F660" t="inlineStr">
        <is>
          <t>Yes</t>
        </is>
      </c>
      <c r="G660" t="inlineStr">
        <is>
          <t>1</t>
        </is>
      </c>
      <c r="H660" t="inlineStr">
        <is>
          <t>No</t>
        </is>
      </c>
      <c r="I660" t="inlineStr">
        <is>
          <t>No</t>
        </is>
      </c>
      <c r="J660" t="inlineStr">
        <is>
          <t>0</t>
        </is>
      </c>
      <c r="K660" t="inlineStr">
        <is>
          <t>Wu, Cheng'en, approximately 1500-approximately 1582.</t>
        </is>
      </c>
      <c r="L660" t="inlineStr">
        <is>
          <t>Chicago : University of Chicago Press, 1980-</t>
        </is>
      </c>
      <c r="M660" t="inlineStr">
        <is>
          <t>1980</t>
        </is>
      </c>
      <c r="N660" t="inlineStr">
        <is>
          <t>Pbk. ed.</t>
        </is>
      </c>
      <c r="O660" t="inlineStr">
        <is>
          <t>eng</t>
        </is>
      </c>
      <c r="P660" t="inlineStr">
        <is>
          <t>ilu</t>
        </is>
      </c>
      <c r="R660" t="inlineStr">
        <is>
          <t xml:space="preserve">PL </t>
        </is>
      </c>
      <c r="S660" t="n">
        <v>15</v>
      </c>
      <c r="T660" t="n">
        <v>63</v>
      </c>
      <c r="U660" t="inlineStr">
        <is>
          <t>2010-03-26</t>
        </is>
      </c>
      <c r="V660" t="inlineStr">
        <is>
          <t>2010-03-26</t>
        </is>
      </c>
      <c r="W660" t="inlineStr">
        <is>
          <t>1996-09-06</t>
        </is>
      </c>
      <c r="X660" t="inlineStr">
        <is>
          <t>1996-09-06</t>
        </is>
      </c>
      <c r="Y660" t="n">
        <v>44</v>
      </c>
      <c r="Z660" t="n">
        <v>39</v>
      </c>
      <c r="AA660" t="n">
        <v>384</v>
      </c>
      <c r="AB660" t="n">
        <v>1</v>
      </c>
      <c r="AC660" t="n">
        <v>1</v>
      </c>
      <c r="AD660" t="n">
        <v>1</v>
      </c>
      <c r="AE660" t="n">
        <v>11</v>
      </c>
      <c r="AF660" t="n">
        <v>1</v>
      </c>
      <c r="AG660" t="n">
        <v>5</v>
      </c>
      <c r="AH660" t="n">
        <v>0</v>
      </c>
      <c r="AI660" t="n">
        <v>3</v>
      </c>
      <c r="AJ660" t="n">
        <v>0</v>
      </c>
      <c r="AK660" t="n">
        <v>7</v>
      </c>
      <c r="AL660" t="n">
        <v>0</v>
      </c>
      <c r="AM660" t="n">
        <v>0</v>
      </c>
      <c r="AN660" t="n">
        <v>0</v>
      </c>
      <c r="AO660" t="n">
        <v>0</v>
      </c>
      <c r="AP660" t="inlineStr">
        <is>
          <t>No</t>
        </is>
      </c>
      <c r="AQ660" t="inlineStr">
        <is>
          <t>No</t>
        </is>
      </c>
      <c r="AS660">
        <f>HYPERLINK("https://creighton-primo.hosted.exlibrisgroup.com/primo-explore/search?tab=default_tab&amp;search_scope=EVERYTHING&amp;vid=01CRU&amp;lang=en_US&amp;offset=0&amp;query=any,contains,991005235099702656","Catalog Record")</f>
        <v/>
      </c>
      <c r="AT660">
        <f>HYPERLINK("http://www.worldcat.org/oclc/8367731","WorldCat Record")</f>
        <v/>
      </c>
      <c r="AU660" t="inlineStr">
        <is>
          <t>10677878959:eng</t>
        </is>
      </c>
      <c r="AV660" t="inlineStr">
        <is>
          <t>8367731</t>
        </is>
      </c>
      <c r="AW660" t="inlineStr">
        <is>
          <t>991005235099702656</t>
        </is>
      </c>
      <c r="AX660" t="inlineStr">
        <is>
          <t>991005235099702656</t>
        </is>
      </c>
      <c r="AY660" t="inlineStr">
        <is>
          <t>2260501630002656</t>
        </is>
      </c>
      <c r="AZ660" t="inlineStr">
        <is>
          <t>BOOK</t>
        </is>
      </c>
      <c r="BB660" t="inlineStr">
        <is>
          <t>9780226971476</t>
        </is>
      </c>
      <c r="BC660" t="inlineStr">
        <is>
          <t>32285002315025</t>
        </is>
      </c>
      <c r="BD660" t="inlineStr">
        <is>
          <t>893713694</t>
        </is>
      </c>
    </row>
    <row r="661">
      <c r="A661" t="inlineStr">
        <is>
          <t>No</t>
        </is>
      </c>
      <c r="B661" t="inlineStr">
        <is>
          <t>PL2697.H75 E596 1980</t>
        </is>
      </c>
      <c r="C661" t="inlineStr">
        <is>
          <t>0                      PL 2697000H  75                 E  596         1980</t>
        </is>
      </c>
      <c r="D661" t="inlineStr">
        <is>
          <t>The journey to the west / translated and edited by Anthony C. Yu.</t>
        </is>
      </c>
      <c r="E661" t="inlineStr">
        <is>
          <t>V.3</t>
        </is>
      </c>
      <c r="F661" t="inlineStr">
        <is>
          <t>Yes</t>
        </is>
      </c>
      <c r="G661" t="inlineStr">
        <is>
          <t>1</t>
        </is>
      </c>
      <c r="H661" t="inlineStr">
        <is>
          <t>No</t>
        </is>
      </c>
      <c r="I661" t="inlineStr">
        <is>
          <t>No</t>
        </is>
      </c>
      <c r="J661" t="inlineStr">
        <is>
          <t>0</t>
        </is>
      </c>
      <c r="K661" t="inlineStr">
        <is>
          <t>Wu, Cheng'en, approximately 1500-approximately 1582.</t>
        </is>
      </c>
      <c r="L661" t="inlineStr">
        <is>
          <t>Chicago : University of Chicago Press, 1980-</t>
        </is>
      </c>
      <c r="M661" t="inlineStr">
        <is>
          <t>1980</t>
        </is>
      </c>
      <c r="N661" t="inlineStr">
        <is>
          <t>Pbk. ed.</t>
        </is>
      </c>
      <c r="O661" t="inlineStr">
        <is>
          <t>eng</t>
        </is>
      </c>
      <c r="P661" t="inlineStr">
        <is>
          <t>ilu</t>
        </is>
      </c>
      <c r="R661" t="inlineStr">
        <is>
          <t xml:space="preserve">PL </t>
        </is>
      </c>
      <c r="S661" t="n">
        <v>14</v>
      </c>
      <c r="T661" t="n">
        <v>63</v>
      </c>
      <c r="U661" t="inlineStr">
        <is>
          <t>2010-03-26</t>
        </is>
      </c>
      <c r="V661" t="inlineStr">
        <is>
          <t>2010-03-26</t>
        </is>
      </c>
      <c r="W661" t="inlineStr">
        <is>
          <t>1996-09-06</t>
        </is>
      </c>
      <c r="X661" t="inlineStr">
        <is>
          <t>1996-09-06</t>
        </is>
      </c>
      <c r="Y661" t="n">
        <v>44</v>
      </c>
      <c r="Z661" t="n">
        <v>39</v>
      </c>
      <c r="AA661" t="n">
        <v>384</v>
      </c>
      <c r="AB661" t="n">
        <v>1</v>
      </c>
      <c r="AC661" t="n">
        <v>1</v>
      </c>
      <c r="AD661" t="n">
        <v>1</v>
      </c>
      <c r="AE661" t="n">
        <v>11</v>
      </c>
      <c r="AF661" t="n">
        <v>1</v>
      </c>
      <c r="AG661" t="n">
        <v>5</v>
      </c>
      <c r="AH661" t="n">
        <v>0</v>
      </c>
      <c r="AI661" t="n">
        <v>3</v>
      </c>
      <c r="AJ661" t="n">
        <v>0</v>
      </c>
      <c r="AK661" t="n">
        <v>7</v>
      </c>
      <c r="AL661" t="n">
        <v>0</v>
      </c>
      <c r="AM661" t="n">
        <v>0</v>
      </c>
      <c r="AN661" t="n">
        <v>0</v>
      </c>
      <c r="AO661" t="n">
        <v>0</v>
      </c>
      <c r="AP661" t="inlineStr">
        <is>
          <t>No</t>
        </is>
      </c>
      <c r="AQ661" t="inlineStr">
        <is>
          <t>No</t>
        </is>
      </c>
      <c r="AS661">
        <f>HYPERLINK("https://creighton-primo.hosted.exlibrisgroup.com/primo-explore/search?tab=default_tab&amp;search_scope=EVERYTHING&amp;vid=01CRU&amp;lang=en_US&amp;offset=0&amp;query=any,contains,991005235099702656","Catalog Record")</f>
        <v/>
      </c>
      <c r="AT661">
        <f>HYPERLINK("http://www.worldcat.org/oclc/8367731","WorldCat Record")</f>
        <v/>
      </c>
      <c r="AU661" t="inlineStr">
        <is>
          <t>10677878959:eng</t>
        </is>
      </c>
      <c r="AV661" t="inlineStr">
        <is>
          <t>8367731</t>
        </is>
      </c>
      <c r="AW661" t="inlineStr">
        <is>
          <t>991005235099702656</t>
        </is>
      </c>
      <c r="AX661" t="inlineStr">
        <is>
          <t>991005235099702656</t>
        </is>
      </c>
      <c r="AY661" t="inlineStr">
        <is>
          <t>2260501630002656</t>
        </is>
      </c>
      <c r="AZ661" t="inlineStr">
        <is>
          <t>BOOK</t>
        </is>
      </c>
      <c r="BB661" t="inlineStr">
        <is>
          <t>9780226971476</t>
        </is>
      </c>
      <c r="BC661" t="inlineStr">
        <is>
          <t>32285002315033</t>
        </is>
      </c>
      <c r="BD661" t="inlineStr">
        <is>
          <t>893688812</t>
        </is>
      </c>
    </row>
    <row r="662">
      <c r="A662" t="inlineStr">
        <is>
          <t>No</t>
        </is>
      </c>
      <c r="B662" t="inlineStr">
        <is>
          <t>PL2697.H75 E596 1980</t>
        </is>
      </c>
      <c r="C662" t="inlineStr">
        <is>
          <t>0                      PL 2697000H  75                 E  596         1980</t>
        </is>
      </c>
      <c r="D662" t="inlineStr">
        <is>
          <t>The journey to the west / translated and edited by Anthony C. Yu.</t>
        </is>
      </c>
      <c r="E662" t="inlineStr">
        <is>
          <t>V.1</t>
        </is>
      </c>
      <c r="F662" t="inlineStr">
        <is>
          <t>Yes</t>
        </is>
      </c>
      <c r="G662" t="inlineStr">
        <is>
          <t>1</t>
        </is>
      </c>
      <c r="H662" t="inlineStr">
        <is>
          <t>No</t>
        </is>
      </c>
      <c r="I662" t="inlineStr">
        <is>
          <t>No</t>
        </is>
      </c>
      <c r="J662" t="inlineStr">
        <is>
          <t>0</t>
        </is>
      </c>
      <c r="K662" t="inlineStr">
        <is>
          <t>Wu, Cheng'en, approximately 1500-approximately 1582.</t>
        </is>
      </c>
      <c r="L662" t="inlineStr">
        <is>
          <t>Chicago : University of Chicago Press, 1980-</t>
        </is>
      </c>
      <c r="M662" t="inlineStr">
        <is>
          <t>1980</t>
        </is>
      </c>
      <c r="N662" t="inlineStr">
        <is>
          <t>Pbk. ed.</t>
        </is>
      </c>
      <c r="O662" t="inlineStr">
        <is>
          <t>eng</t>
        </is>
      </c>
      <c r="P662" t="inlineStr">
        <is>
          <t>ilu</t>
        </is>
      </c>
      <c r="R662" t="inlineStr">
        <is>
          <t xml:space="preserve">PL </t>
        </is>
      </c>
      <c r="S662" t="n">
        <v>34</v>
      </c>
      <c r="T662" t="n">
        <v>63</v>
      </c>
      <c r="U662" t="inlineStr">
        <is>
          <t>2010-03-26</t>
        </is>
      </c>
      <c r="V662" t="inlineStr">
        <is>
          <t>2010-03-26</t>
        </is>
      </c>
      <c r="W662" t="inlineStr">
        <is>
          <t>1996-09-06</t>
        </is>
      </c>
      <c r="X662" t="inlineStr">
        <is>
          <t>1996-09-06</t>
        </is>
      </c>
      <c r="Y662" t="n">
        <v>44</v>
      </c>
      <c r="Z662" t="n">
        <v>39</v>
      </c>
      <c r="AA662" t="n">
        <v>384</v>
      </c>
      <c r="AB662" t="n">
        <v>1</v>
      </c>
      <c r="AC662" t="n">
        <v>1</v>
      </c>
      <c r="AD662" t="n">
        <v>1</v>
      </c>
      <c r="AE662" t="n">
        <v>11</v>
      </c>
      <c r="AF662" t="n">
        <v>1</v>
      </c>
      <c r="AG662" t="n">
        <v>5</v>
      </c>
      <c r="AH662" t="n">
        <v>0</v>
      </c>
      <c r="AI662" t="n">
        <v>3</v>
      </c>
      <c r="AJ662" t="n">
        <v>0</v>
      </c>
      <c r="AK662" t="n">
        <v>7</v>
      </c>
      <c r="AL662" t="n">
        <v>0</v>
      </c>
      <c r="AM662" t="n">
        <v>0</v>
      </c>
      <c r="AN662" t="n">
        <v>0</v>
      </c>
      <c r="AO662" t="n">
        <v>0</v>
      </c>
      <c r="AP662" t="inlineStr">
        <is>
          <t>No</t>
        </is>
      </c>
      <c r="AQ662" t="inlineStr">
        <is>
          <t>No</t>
        </is>
      </c>
      <c r="AS662">
        <f>HYPERLINK("https://creighton-primo.hosted.exlibrisgroup.com/primo-explore/search?tab=default_tab&amp;search_scope=EVERYTHING&amp;vid=01CRU&amp;lang=en_US&amp;offset=0&amp;query=any,contains,991005235099702656","Catalog Record")</f>
        <v/>
      </c>
      <c r="AT662">
        <f>HYPERLINK("http://www.worldcat.org/oclc/8367731","WorldCat Record")</f>
        <v/>
      </c>
      <c r="AU662" t="inlineStr">
        <is>
          <t>10677878959:eng</t>
        </is>
      </c>
      <c r="AV662" t="inlineStr">
        <is>
          <t>8367731</t>
        </is>
      </c>
      <c r="AW662" t="inlineStr">
        <is>
          <t>991005235099702656</t>
        </is>
      </c>
      <c r="AX662" t="inlineStr">
        <is>
          <t>991005235099702656</t>
        </is>
      </c>
      <c r="AY662" t="inlineStr">
        <is>
          <t>2260501630002656</t>
        </is>
      </c>
      <c r="AZ662" t="inlineStr">
        <is>
          <t>BOOK</t>
        </is>
      </c>
      <c r="BB662" t="inlineStr">
        <is>
          <t>9780226971476</t>
        </is>
      </c>
      <c r="BC662" t="inlineStr">
        <is>
          <t>32285002315017</t>
        </is>
      </c>
      <c r="BD662" t="inlineStr">
        <is>
          <t>893713695</t>
        </is>
      </c>
    </row>
    <row r="663">
      <c r="A663" t="inlineStr">
        <is>
          <t>No</t>
        </is>
      </c>
      <c r="B663" t="inlineStr">
        <is>
          <t>PL2717.U47 Z88 1983</t>
        </is>
      </c>
      <c r="C663" t="inlineStr">
        <is>
          <t>0                      PL 2717000U  47                 Z  88          1983</t>
        </is>
      </c>
      <c r="D663" t="inlineStr">
        <is>
          <t>The world of Kʻung Shang-jen : a man of letters in early Chʻing China / Richard E. Strassberg.</t>
        </is>
      </c>
      <c r="F663" t="inlineStr">
        <is>
          <t>No</t>
        </is>
      </c>
      <c r="G663" t="inlineStr">
        <is>
          <t>1</t>
        </is>
      </c>
      <c r="H663" t="inlineStr">
        <is>
          <t>No</t>
        </is>
      </c>
      <c r="I663" t="inlineStr">
        <is>
          <t>No</t>
        </is>
      </c>
      <c r="J663" t="inlineStr">
        <is>
          <t>0</t>
        </is>
      </c>
      <c r="K663" t="inlineStr">
        <is>
          <t>Strassberg, Richard E.</t>
        </is>
      </c>
      <c r="L663" t="inlineStr">
        <is>
          <t>New York : Columbia University Press, 1983.</t>
        </is>
      </c>
      <c r="M663" t="inlineStr">
        <is>
          <t>1983</t>
        </is>
      </c>
      <c r="O663" t="inlineStr">
        <is>
          <t>eng</t>
        </is>
      </c>
      <c r="P663" t="inlineStr">
        <is>
          <t>nyu</t>
        </is>
      </c>
      <c r="Q663" t="inlineStr">
        <is>
          <t>Studies in Oriental culture ; no. 17</t>
        </is>
      </c>
      <c r="R663" t="inlineStr">
        <is>
          <t xml:space="preserve">PL </t>
        </is>
      </c>
      <c r="S663" t="n">
        <v>2</v>
      </c>
      <c r="T663" t="n">
        <v>2</v>
      </c>
      <c r="U663" t="inlineStr">
        <is>
          <t>1997-06-13</t>
        </is>
      </c>
      <c r="V663" t="inlineStr">
        <is>
          <t>1997-06-13</t>
        </is>
      </c>
      <c r="W663" t="inlineStr">
        <is>
          <t>1997-04-24</t>
        </is>
      </c>
      <c r="X663" t="inlineStr">
        <is>
          <t>1997-04-24</t>
        </is>
      </c>
      <c r="Y663" t="n">
        <v>305</v>
      </c>
      <c r="Z663" t="n">
        <v>251</v>
      </c>
      <c r="AA663" t="n">
        <v>251</v>
      </c>
      <c r="AB663" t="n">
        <v>2</v>
      </c>
      <c r="AC663" t="n">
        <v>2</v>
      </c>
      <c r="AD663" t="n">
        <v>10</v>
      </c>
      <c r="AE663" t="n">
        <v>10</v>
      </c>
      <c r="AF663" t="n">
        <v>3</v>
      </c>
      <c r="AG663" t="n">
        <v>3</v>
      </c>
      <c r="AH663" t="n">
        <v>3</v>
      </c>
      <c r="AI663" t="n">
        <v>3</v>
      </c>
      <c r="AJ663" t="n">
        <v>6</v>
      </c>
      <c r="AK663" t="n">
        <v>6</v>
      </c>
      <c r="AL663" t="n">
        <v>1</v>
      </c>
      <c r="AM663" t="n">
        <v>1</v>
      </c>
      <c r="AN663" t="n">
        <v>0</v>
      </c>
      <c r="AO663" t="n">
        <v>0</v>
      </c>
      <c r="AP663" t="inlineStr">
        <is>
          <t>No</t>
        </is>
      </c>
      <c r="AQ663" t="inlineStr">
        <is>
          <t>No</t>
        </is>
      </c>
      <c r="AS663">
        <f>HYPERLINK("https://creighton-primo.hosted.exlibrisgroup.com/primo-explore/search?tab=default_tab&amp;search_scope=EVERYTHING&amp;vid=01CRU&amp;lang=en_US&amp;offset=0&amp;query=any,contains,991000152939702656","Catalog Record")</f>
        <v/>
      </c>
      <c r="AT663">
        <f>HYPERLINK("http://www.worldcat.org/oclc/9218149","WorldCat Record")</f>
        <v/>
      </c>
      <c r="AU663" t="inlineStr">
        <is>
          <t>836713943:eng</t>
        </is>
      </c>
      <c r="AV663" t="inlineStr">
        <is>
          <t>9218149</t>
        </is>
      </c>
      <c r="AW663" t="inlineStr">
        <is>
          <t>991000152939702656</t>
        </is>
      </c>
      <c r="AX663" t="inlineStr">
        <is>
          <t>991000152939702656</t>
        </is>
      </c>
      <c r="AY663" t="inlineStr">
        <is>
          <t>2267936510002656</t>
        </is>
      </c>
      <c r="AZ663" t="inlineStr">
        <is>
          <t>BOOK</t>
        </is>
      </c>
      <c r="BB663" t="inlineStr">
        <is>
          <t>9780231055307</t>
        </is>
      </c>
      <c r="BC663" t="inlineStr">
        <is>
          <t>32285002540655</t>
        </is>
      </c>
      <c r="BD663" t="inlineStr">
        <is>
          <t>893902913</t>
        </is>
      </c>
    </row>
    <row r="664">
      <c r="A664" t="inlineStr">
        <is>
          <t>No</t>
        </is>
      </c>
      <c r="B664" t="inlineStr">
        <is>
          <t>PL2718.I2 Z77</t>
        </is>
      </c>
      <c r="C664" t="inlineStr">
        <is>
          <t>0                      PL 2718000I  2                  Z  77</t>
        </is>
      </c>
      <c r="D664" t="inlineStr">
        <is>
          <t>Li Po-Yuan / by Douglas Lancashire.</t>
        </is>
      </c>
      <c r="F664" t="inlineStr">
        <is>
          <t>No</t>
        </is>
      </c>
      <c r="G664" t="inlineStr">
        <is>
          <t>1</t>
        </is>
      </c>
      <c r="H664" t="inlineStr">
        <is>
          <t>No</t>
        </is>
      </c>
      <c r="I664" t="inlineStr">
        <is>
          <t>No</t>
        </is>
      </c>
      <c r="J664" t="inlineStr">
        <is>
          <t>0</t>
        </is>
      </c>
      <c r="K664" t="inlineStr">
        <is>
          <t>Lancashire, Douglas, 1926-</t>
        </is>
      </c>
      <c r="L664" t="inlineStr">
        <is>
          <t>Boston : Twayne Publishers, 1981.</t>
        </is>
      </c>
      <c r="M664" t="inlineStr">
        <is>
          <t>1981</t>
        </is>
      </c>
      <c r="O664" t="inlineStr">
        <is>
          <t>eng</t>
        </is>
      </c>
      <c r="P664" t="inlineStr">
        <is>
          <t>mau</t>
        </is>
      </c>
      <c r="Q664" t="inlineStr">
        <is>
          <t>Twayne's world authors series. China ; TWAS 607</t>
        </is>
      </c>
      <c r="R664" t="inlineStr">
        <is>
          <t xml:space="preserve">PL </t>
        </is>
      </c>
      <c r="S664" t="n">
        <v>4</v>
      </c>
      <c r="T664" t="n">
        <v>4</v>
      </c>
      <c r="U664" t="inlineStr">
        <is>
          <t>1996-09-27</t>
        </is>
      </c>
      <c r="V664" t="inlineStr">
        <is>
          <t>1996-09-27</t>
        </is>
      </c>
      <c r="W664" t="inlineStr">
        <is>
          <t>1993-05-05</t>
        </is>
      </c>
      <c r="X664" t="inlineStr">
        <is>
          <t>1993-05-05</t>
        </is>
      </c>
      <c r="Y664" t="n">
        <v>335</v>
      </c>
      <c r="Z664" t="n">
        <v>290</v>
      </c>
      <c r="AA664" t="n">
        <v>297</v>
      </c>
      <c r="AB664" t="n">
        <v>4</v>
      </c>
      <c r="AC664" t="n">
        <v>4</v>
      </c>
      <c r="AD664" t="n">
        <v>13</v>
      </c>
      <c r="AE664" t="n">
        <v>13</v>
      </c>
      <c r="AF664" t="n">
        <v>6</v>
      </c>
      <c r="AG664" t="n">
        <v>6</v>
      </c>
      <c r="AH664" t="n">
        <v>1</v>
      </c>
      <c r="AI664" t="n">
        <v>1</v>
      </c>
      <c r="AJ664" t="n">
        <v>7</v>
      </c>
      <c r="AK664" t="n">
        <v>7</v>
      </c>
      <c r="AL664" t="n">
        <v>3</v>
      </c>
      <c r="AM664" t="n">
        <v>3</v>
      </c>
      <c r="AN664" t="n">
        <v>0</v>
      </c>
      <c r="AO664" t="n">
        <v>0</v>
      </c>
      <c r="AP664" t="inlineStr">
        <is>
          <t>No</t>
        </is>
      </c>
      <c r="AQ664" t="inlineStr">
        <is>
          <t>Yes</t>
        </is>
      </c>
      <c r="AR664">
        <f>HYPERLINK("http://catalog.hathitrust.org/Record/000098454","HathiTrust Record")</f>
        <v/>
      </c>
      <c r="AS664">
        <f>HYPERLINK("https://creighton-primo.hosted.exlibrisgroup.com/primo-explore/search?tab=default_tab&amp;search_scope=EVERYTHING&amp;vid=01CRU&amp;lang=en_US&amp;offset=0&amp;query=any,contains,991005070129702656","Catalog Record")</f>
        <v/>
      </c>
      <c r="AT664">
        <f>HYPERLINK("http://www.worldcat.org/oclc/7007048","WorldCat Record")</f>
        <v/>
      </c>
      <c r="AU664" t="inlineStr">
        <is>
          <t>461501:eng</t>
        </is>
      </c>
      <c r="AV664" t="inlineStr">
        <is>
          <t>7007048</t>
        </is>
      </c>
      <c r="AW664" t="inlineStr">
        <is>
          <t>991005070129702656</t>
        </is>
      </c>
      <c r="AX664" t="inlineStr">
        <is>
          <t>991005070129702656</t>
        </is>
      </c>
      <c r="AY664" t="inlineStr">
        <is>
          <t>2266439040002656</t>
        </is>
      </c>
      <c r="AZ664" t="inlineStr">
        <is>
          <t>BOOK</t>
        </is>
      </c>
      <c r="BB664" t="inlineStr">
        <is>
          <t>9780805764499</t>
        </is>
      </c>
      <c r="BC664" t="inlineStr">
        <is>
          <t>32285001672475</t>
        </is>
      </c>
      <c r="BD664" t="inlineStr">
        <is>
          <t>893594411</t>
        </is>
      </c>
    </row>
    <row r="665">
      <c r="A665" t="inlineStr">
        <is>
          <t>No</t>
        </is>
      </c>
      <c r="B665" t="inlineStr">
        <is>
          <t>PL2727 .S2</t>
        </is>
      </c>
      <c r="C665" t="inlineStr">
        <is>
          <t>0                      PL 2727000S  2</t>
        </is>
      </c>
      <c r="D665" t="inlineStr">
        <is>
          <t>The story of the stone; a Chinese novel in five volumes, translated by David Hawkes.</t>
        </is>
      </c>
      <c r="E665" t="inlineStr">
        <is>
          <t>V.3</t>
        </is>
      </c>
      <c r="F665" t="inlineStr">
        <is>
          <t>Yes</t>
        </is>
      </c>
      <c r="G665" t="inlineStr">
        <is>
          <t>1</t>
        </is>
      </c>
      <c r="H665" t="inlineStr">
        <is>
          <t>No</t>
        </is>
      </c>
      <c r="I665" t="inlineStr">
        <is>
          <t>No</t>
        </is>
      </c>
      <c r="J665" t="inlineStr">
        <is>
          <t>0</t>
        </is>
      </c>
      <c r="K665" t="inlineStr">
        <is>
          <t>Cao, Xueqin, approximately 1717-1763.</t>
        </is>
      </c>
      <c r="L665" t="inlineStr">
        <is>
          <t>Harmondsworth, Penguin, 1973-1986.</t>
        </is>
      </c>
      <c r="M665" t="inlineStr">
        <is>
          <t>1973</t>
        </is>
      </c>
      <c r="O665" t="inlineStr">
        <is>
          <t>eng</t>
        </is>
      </c>
      <c r="P665" t="inlineStr">
        <is>
          <t>enk</t>
        </is>
      </c>
      <c r="Q665" t="inlineStr">
        <is>
          <t>Penguin classics</t>
        </is>
      </c>
      <c r="R665" t="inlineStr">
        <is>
          <t xml:space="preserve">PL </t>
        </is>
      </c>
      <c r="S665" t="n">
        <v>4</v>
      </c>
      <c r="T665" t="n">
        <v>30</v>
      </c>
      <c r="U665" t="inlineStr">
        <is>
          <t>2004-09-10</t>
        </is>
      </c>
      <c r="V665" t="inlineStr">
        <is>
          <t>2004-09-10</t>
        </is>
      </c>
      <c r="W665" t="inlineStr">
        <is>
          <t>1996-09-06</t>
        </is>
      </c>
      <c r="X665" t="inlineStr">
        <is>
          <t>1996-09-06</t>
        </is>
      </c>
      <c r="Y665" t="n">
        <v>637</v>
      </c>
      <c r="Z665" t="n">
        <v>526</v>
      </c>
      <c r="AA665" t="n">
        <v>573</v>
      </c>
      <c r="AB665" t="n">
        <v>5</v>
      </c>
      <c r="AC665" t="n">
        <v>5</v>
      </c>
      <c r="AD665" t="n">
        <v>22</v>
      </c>
      <c r="AE665" t="n">
        <v>23</v>
      </c>
      <c r="AF665" t="n">
        <v>9</v>
      </c>
      <c r="AG665" t="n">
        <v>10</v>
      </c>
      <c r="AH665" t="n">
        <v>5</v>
      </c>
      <c r="AI665" t="n">
        <v>5</v>
      </c>
      <c r="AJ665" t="n">
        <v>8</v>
      </c>
      <c r="AK665" t="n">
        <v>8</v>
      </c>
      <c r="AL665" t="n">
        <v>4</v>
      </c>
      <c r="AM665" t="n">
        <v>4</v>
      </c>
      <c r="AN665" t="n">
        <v>0</v>
      </c>
      <c r="AO665" t="n">
        <v>0</v>
      </c>
      <c r="AP665" t="inlineStr">
        <is>
          <t>No</t>
        </is>
      </c>
      <c r="AQ665" t="inlineStr">
        <is>
          <t>Yes</t>
        </is>
      </c>
      <c r="AR665">
        <f>HYPERLINK("http://catalog.hathitrust.org/Record/000760750","HathiTrust Record")</f>
        <v/>
      </c>
      <c r="AS665">
        <f>HYPERLINK("https://creighton-primo.hosted.exlibrisgroup.com/primo-explore/search?tab=default_tab&amp;search_scope=EVERYTHING&amp;vid=01CRU&amp;lang=en_US&amp;offset=0&amp;query=any,contains,991003669359702656","Catalog Record")</f>
        <v/>
      </c>
      <c r="AT665">
        <f>HYPERLINK("http://www.worldcat.org/oclc/1286252","WorldCat Record")</f>
        <v/>
      </c>
      <c r="AU665" t="inlineStr">
        <is>
          <t>10678029540:eng</t>
        </is>
      </c>
      <c r="AV665" t="inlineStr">
        <is>
          <t>1286252</t>
        </is>
      </c>
      <c r="AW665" t="inlineStr">
        <is>
          <t>991003669359702656</t>
        </is>
      </c>
      <c r="AX665" t="inlineStr">
        <is>
          <t>991003669359702656</t>
        </is>
      </c>
      <c r="AY665" t="inlineStr">
        <is>
          <t>2268136260002656</t>
        </is>
      </c>
      <c r="AZ665" t="inlineStr">
        <is>
          <t>BOOK</t>
        </is>
      </c>
      <c r="BB665" t="inlineStr">
        <is>
          <t>9780140442939</t>
        </is>
      </c>
      <c r="BC665" t="inlineStr">
        <is>
          <t>32285002315173</t>
        </is>
      </c>
      <c r="BD665" t="inlineStr">
        <is>
          <t>893686801</t>
        </is>
      </c>
    </row>
    <row r="666">
      <c r="A666" t="inlineStr">
        <is>
          <t>No</t>
        </is>
      </c>
      <c r="B666" t="inlineStr">
        <is>
          <t>PL2727 .S2</t>
        </is>
      </c>
      <c r="C666" t="inlineStr">
        <is>
          <t>0                      PL 2727000S  2</t>
        </is>
      </c>
      <c r="D666" t="inlineStr">
        <is>
          <t>The story of the stone; a Chinese novel in five volumes, translated by David Hawkes.</t>
        </is>
      </c>
      <c r="E666" t="inlineStr">
        <is>
          <t>V.2</t>
        </is>
      </c>
      <c r="F666" t="inlineStr">
        <is>
          <t>Yes</t>
        </is>
      </c>
      <c r="G666" t="inlineStr">
        <is>
          <t>1</t>
        </is>
      </c>
      <c r="H666" t="inlineStr">
        <is>
          <t>No</t>
        </is>
      </c>
      <c r="I666" t="inlineStr">
        <is>
          <t>No</t>
        </is>
      </c>
      <c r="J666" t="inlineStr">
        <is>
          <t>0</t>
        </is>
      </c>
      <c r="K666" t="inlineStr">
        <is>
          <t>Cao, Xueqin, approximately 1717-1763.</t>
        </is>
      </c>
      <c r="L666" t="inlineStr">
        <is>
          <t>Harmondsworth, Penguin, 1973-1986.</t>
        </is>
      </c>
      <c r="M666" t="inlineStr">
        <is>
          <t>1973</t>
        </is>
      </c>
      <c r="O666" t="inlineStr">
        <is>
          <t>eng</t>
        </is>
      </c>
      <c r="P666" t="inlineStr">
        <is>
          <t>enk</t>
        </is>
      </c>
      <c r="Q666" t="inlineStr">
        <is>
          <t>Penguin classics</t>
        </is>
      </c>
      <c r="R666" t="inlineStr">
        <is>
          <t xml:space="preserve">PL </t>
        </is>
      </c>
      <c r="S666" t="n">
        <v>4</v>
      </c>
      <c r="T666" t="n">
        <v>30</v>
      </c>
      <c r="U666" t="inlineStr">
        <is>
          <t>2004-09-10</t>
        </is>
      </c>
      <c r="V666" t="inlineStr">
        <is>
          <t>2004-09-10</t>
        </is>
      </c>
      <c r="W666" t="inlineStr">
        <is>
          <t>1996-09-06</t>
        </is>
      </c>
      <c r="X666" t="inlineStr">
        <is>
          <t>1996-09-06</t>
        </is>
      </c>
      <c r="Y666" t="n">
        <v>637</v>
      </c>
      <c r="Z666" t="n">
        <v>526</v>
      </c>
      <c r="AA666" t="n">
        <v>573</v>
      </c>
      <c r="AB666" t="n">
        <v>5</v>
      </c>
      <c r="AC666" t="n">
        <v>5</v>
      </c>
      <c r="AD666" t="n">
        <v>22</v>
      </c>
      <c r="AE666" t="n">
        <v>23</v>
      </c>
      <c r="AF666" t="n">
        <v>9</v>
      </c>
      <c r="AG666" t="n">
        <v>10</v>
      </c>
      <c r="AH666" t="n">
        <v>5</v>
      </c>
      <c r="AI666" t="n">
        <v>5</v>
      </c>
      <c r="AJ666" t="n">
        <v>8</v>
      </c>
      <c r="AK666" t="n">
        <v>8</v>
      </c>
      <c r="AL666" t="n">
        <v>4</v>
      </c>
      <c r="AM666" t="n">
        <v>4</v>
      </c>
      <c r="AN666" t="n">
        <v>0</v>
      </c>
      <c r="AO666" t="n">
        <v>0</v>
      </c>
      <c r="AP666" t="inlineStr">
        <is>
          <t>No</t>
        </is>
      </c>
      <c r="AQ666" t="inlineStr">
        <is>
          <t>Yes</t>
        </is>
      </c>
      <c r="AR666">
        <f>HYPERLINK("http://catalog.hathitrust.org/Record/000760750","HathiTrust Record")</f>
        <v/>
      </c>
      <c r="AS666">
        <f>HYPERLINK("https://creighton-primo.hosted.exlibrisgroup.com/primo-explore/search?tab=default_tab&amp;search_scope=EVERYTHING&amp;vid=01CRU&amp;lang=en_US&amp;offset=0&amp;query=any,contains,991003669359702656","Catalog Record")</f>
        <v/>
      </c>
      <c r="AT666">
        <f>HYPERLINK("http://www.worldcat.org/oclc/1286252","WorldCat Record")</f>
        <v/>
      </c>
      <c r="AU666" t="inlineStr">
        <is>
          <t>10678029540:eng</t>
        </is>
      </c>
      <c r="AV666" t="inlineStr">
        <is>
          <t>1286252</t>
        </is>
      </c>
      <c r="AW666" t="inlineStr">
        <is>
          <t>991003669359702656</t>
        </is>
      </c>
      <c r="AX666" t="inlineStr">
        <is>
          <t>991003669359702656</t>
        </is>
      </c>
      <c r="AY666" t="inlineStr">
        <is>
          <t>2268136260002656</t>
        </is>
      </c>
      <c r="AZ666" t="inlineStr">
        <is>
          <t>BOOK</t>
        </is>
      </c>
      <c r="BB666" t="inlineStr">
        <is>
          <t>9780140442939</t>
        </is>
      </c>
      <c r="BC666" t="inlineStr">
        <is>
          <t>32285002315165</t>
        </is>
      </c>
      <c r="BD666" t="inlineStr">
        <is>
          <t>893711644</t>
        </is>
      </c>
    </row>
    <row r="667">
      <c r="A667" t="inlineStr">
        <is>
          <t>No</t>
        </is>
      </c>
      <c r="B667" t="inlineStr">
        <is>
          <t>PL2727 .S2</t>
        </is>
      </c>
      <c r="C667" t="inlineStr">
        <is>
          <t>0                      PL 2727000S  2</t>
        </is>
      </c>
      <c r="D667" t="inlineStr">
        <is>
          <t>The story of the stone; a Chinese novel in five volumes, translated by David Hawkes.</t>
        </is>
      </c>
      <c r="E667" t="inlineStr">
        <is>
          <t>V.4</t>
        </is>
      </c>
      <c r="F667" t="inlineStr">
        <is>
          <t>Yes</t>
        </is>
      </c>
      <c r="G667" t="inlineStr">
        <is>
          <t>1</t>
        </is>
      </c>
      <c r="H667" t="inlineStr">
        <is>
          <t>No</t>
        </is>
      </c>
      <c r="I667" t="inlineStr">
        <is>
          <t>No</t>
        </is>
      </c>
      <c r="J667" t="inlineStr">
        <is>
          <t>0</t>
        </is>
      </c>
      <c r="K667" t="inlineStr">
        <is>
          <t>Cao, Xueqin, approximately 1717-1763.</t>
        </is>
      </c>
      <c r="L667" t="inlineStr">
        <is>
          <t>Harmondsworth, Penguin, 1973-1986.</t>
        </is>
      </c>
      <c r="M667" t="inlineStr">
        <is>
          <t>1973</t>
        </is>
      </c>
      <c r="O667" t="inlineStr">
        <is>
          <t>eng</t>
        </is>
      </c>
      <c r="P667" t="inlineStr">
        <is>
          <t>enk</t>
        </is>
      </c>
      <c r="Q667" t="inlineStr">
        <is>
          <t>Penguin classics</t>
        </is>
      </c>
      <c r="R667" t="inlineStr">
        <is>
          <t xml:space="preserve">PL </t>
        </is>
      </c>
      <c r="S667" t="n">
        <v>4</v>
      </c>
      <c r="T667" t="n">
        <v>30</v>
      </c>
      <c r="U667" t="inlineStr">
        <is>
          <t>2004-09-10</t>
        </is>
      </c>
      <c r="V667" t="inlineStr">
        <is>
          <t>2004-09-10</t>
        </is>
      </c>
      <c r="W667" t="inlineStr">
        <is>
          <t>1996-09-06</t>
        </is>
      </c>
      <c r="X667" t="inlineStr">
        <is>
          <t>1996-09-06</t>
        </is>
      </c>
      <c r="Y667" t="n">
        <v>637</v>
      </c>
      <c r="Z667" t="n">
        <v>526</v>
      </c>
      <c r="AA667" t="n">
        <v>573</v>
      </c>
      <c r="AB667" t="n">
        <v>5</v>
      </c>
      <c r="AC667" t="n">
        <v>5</v>
      </c>
      <c r="AD667" t="n">
        <v>22</v>
      </c>
      <c r="AE667" t="n">
        <v>23</v>
      </c>
      <c r="AF667" t="n">
        <v>9</v>
      </c>
      <c r="AG667" t="n">
        <v>10</v>
      </c>
      <c r="AH667" t="n">
        <v>5</v>
      </c>
      <c r="AI667" t="n">
        <v>5</v>
      </c>
      <c r="AJ667" t="n">
        <v>8</v>
      </c>
      <c r="AK667" t="n">
        <v>8</v>
      </c>
      <c r="AL667" t="n">
        <v>4</v>
      </c>
      <c r="AM667" t="n">
        <v>4</v>
      </c>
      <c r="AN667" t="n">
        <v>0</v>
      </c>
      <c r="AO667" t="n">
        <v>0</v>
      </c>
      <c r="AP667" t="inlineStr">
        <is>
          <t>No</t>
        </is>
      </c>
      <c r="AQ667" t="inlineStr">
        <is>
          <t>Yes</t>
        </is>
      </c>
      <c r="AR667">
        <f>HYPERLINK("http://catalog.hathitrust.org/Record/000760750","HathiTrust Record")</f>
        <v/>
      </c>
      <c r="AS667">
        <f>HYPERLINK("https://creighton-primo.hosted.exlibrisgroup.com/primo-explore/search?tab=default_tab&amp;search_scope=EVERYTHING&amp;vid=01CRU&amp;lang=en_US&amp;offset=0&amp;query=any,contains,991003669359702656","Catalog Record")</f>
        <v/>
      </c>
      <c r="AT667">
        <f>HYPERLINK("http://www.worldcat.org/oclc/1286252","WorldCat Record")</f>
        <v/>
      </c>
      <c r="AU667" t="inlineStr">
        <is>
          <t>10678029540:eng</t>
        </is>
      </c>
      <c r="AV667" t="inlineStr">
        <is>
          <t>1286252</t>
        </is>
      </c>
      <c r="AW667" t="inlineStr">
        <is>
          <t>991003669359702656</t>
        </is>
      </c>
      <c r="AX667" t="inlineStr">
        <is>
          <t>991003669359702656</t>
        </is>
      </c>
      <c r="AY667" t="inlineStr">
        <is>
          <t>2268136260002656</t>
        </is>
      </c>
      <c r="AZ667" t="inlineStr">
        <is>
          <t>BOOK</t>
        </is>
      </c>
      <c r="BB667" t="inlineStr">
        <is>
          <t>9780140442939</t>
        </is>
      </c>
      <c r="BC667" t="inlineStr">
        <is>
          <t>32285002315181</t>
        </is>
      </c>
      <c r="BD667" t="inlineStr">
        <is>
          <t>893705487</t>
        </is>
      </c>
    </row>
    <row r="668">
      <c r="A668" t="inlineStr">
        <is>
          <t>No</t>
        </is>
      </c>
      <c r="B668" t="inlineStr">
        <is>
          <t>PL2727 .S2</t>
        </is>
      </c>
      <c r="C668" t="inlineStr">
        <is>
          <t>0                      PL 2727000S  2</t>
        </is>
      </c>
      <c r="D668" t="inlineStr">
        <is>
          <t>The story of the stone; a Chinese novel in five volumes, translated by David Hawkes.</t>
        </is>
      </c>
      <c r="E668" t="inlineStr">
        <is>
          <t>V.5</t>
        </is>
      </c>
      <c r="F668" t="inlineStr">
        <is>
          <t>Yes</t>
        </is>
      </c>
      <c r="G668" t="inlineStr">
        <is>
          <t>1</t>
        </is>
      </c>
      <c r="H668" t="inlineStr">
        <is>
          <t>No</t>
        </is>
      </c>
      <c r="I668" t="inlineStr">
        <is>
          <t>No</t>
        </is>
      </c>
      <c r="J668" t="inlineStr">
        <is>
          <t>0</t>
        </is>
      </c>
      <c r="K668" t="inlineStr">
        <is>
          <t>Cao, Xueqin, approximately 1717-1763.</t>
        </is>
      </c>
      <c r="L668" t="inlineStr">
        <is>
          <t>Harmondsworth, Penguin, 1973-1986.</t>
        </is>
      </c>
      <c r="M668" t="inlineStr">
        <is>
          <t>1973</t>
        </is>
      </c>
      <c r="O668" t="inlineStr">
        <is>
          <t>eng</t>
        </is>
      </c>
      <c r="P668" t="inlineStr">
        <is>
          <t>enk</t>
        </is>
      </c>
      <c r="Q668" t="inlineStr">
        <is>
          <t>Penguin classics</t>
        </is>
      </c>
      <c r="R668" t="inlineStr">
        <is>
          <t xml:space="preserve">PL </t>
        </is>
      </c>
      <c r="S668" t="n">
        <v>5</v>
      </c>
      <c r="T668" t="n">
        <v>30</v>
      </c>
      <c r="U668" t="inlineStr">
        <is>
          <t>2004-09-10</t>
        </is>
      </c>
      <c r="V668" t="inlineStr">
        <is>
          <t>2004-09-10</t>
        </is>
      </c>
      <c r="W668" t="inlineStr">
        <is>
          <t>1996-09-06</t>
        </is>
      </c>
      <c r="X668" t="inlineStr">
        <is>
          <t>1996-09-06</t>
        </is>
      </c>
      <c r="Y668" t="n">
        <v>637</v>
      </c>
      <c r="Z668" t="n">
        <v>526</v>
      </c>
      <c r="AA668" t="n">
        <v>573</v>
      </c>
      <c r="AB668" t="n">
        <v>5</v>
      </c>
      <c r="AC668" t="n">
        <v>5</v>
      </c>
      <c r="AD668" t="n">
        <v>22</v>
      </c>
      <c r="AE668" t="n">
        <v>23</v>
      </c>
      <c r="AF668" t="n">
        <v>9</v>
      </c>
      <c r="AG668" t="n">
        <v>10</v>
      </c>
      <c r="AH668" t="n">
        <v>5</v>
      </c>
      <c r="AI668" t="n">
        <v>5</v>
      </c>
      <c r="AJ668" t="n">
        <v>8</v>
      </c>
      <c r="AK668" t="n">
        <v>8</v>
      </c>
      <c r="AL668" t="n">
        <v>4</v>
      </c>
      <c r="AM668" t="n">
        <v>4</v>
      </c>
      <c r="AN668" t="n">
        <v>0</v>
      </c>
      <c r="AO668" t="n">
        <v>0</v>
      </c>
      <c r="AP668" t="inlineStr">
        <is>
          <t>No</t>
        </is>
      </c>
      <c r="AQ668" t="inlineStr">
        <is>
          <t>Yes</t>
        </is>
      </c>
      <c r="AR668">
        <f>HYPERLINK("http://catalog.hathitrust.org/Record/000760750","HathiTrust Record")</f>
        <v/>
      </c>
      <c r="AS668">
        <f>HYPERLINK("https://creighton-primo.hosted.exlibrisgroup.com/primo-explore/search?tab=default_tab&amp;search_scope=EVERYTHING&amp;vid=01CRU&amp;lang=en_US&amp;offset=0&amp;query=any,contains,991003669359702656","Catalog Record")</f>
        <v/>
      </c>
      <c r="AT668">
        <f>HYPERLINK("http://www.worldcat.org/oclc/1286252","WorldCat Record")</f>
        <v/>
      </c>
      <c r="AU668" t="inlineStr">
        <is>
          <t>10678029540:eng</t>
        </is>
      </c>
      <c r="AV668" t="inlineStr">
        <is>
          <t>1286252</t>
        </is>
      </c>
      <c r="AW668" t="inlineStr">
        <is>
          <t>991003669359702656</t>
        </is>
      </c>
      <c r="AX668" t="inlineStr">
        <is>
          <t>991003669359702656</t>
        </is>
      </c>
      <c r="AY668" t="inlineStr">
        <is>
          <t>2268136260002656</t>
        </is>
      </c>
      <c r="AZ668" t="inlineStr">
        <is>
          <t>BOOK</t>
        </is>
      </c>
      <c r="BB668" t="inlineStr">
        <is>
          <t>9780140442939</t>
        </is>
      </c>
      <c r="BC668" t="inlineStr">
        <is>
          <t>32285002315199</t>
        </is>
      </c>
      <c r="BD668" t="inlineStr">
        <is>
          <t>893711643</t>
        </is>
      </c>
    </row>
    <row r="669">
      <c r="A669" t="inlineStr">
        <is>
          <t>No</t>
        </is>
      </c>
      <c r="B669" t="inlineStr">
        <is>
          <t>PL2727 .S2</t>
        </is>
      </c>
      <c r="C669" t="inlineStr">
        <is>
          <t>0                      PL 2727000S  2</t>
        </is>
      </c>
      <c r="D669" t="inlineStr">
        <is>
          <t>The story of the stone; a Chinese novel in five volumes, translated by David Hawkes.</t>
        </is>
      </c>
      <c r="E669" t="inlineStr">
        <is>
          <t>V.1</t>
        </is>
      </c>
      <c r="F669" t="inlineStr">
        <is>
          <t>Yes</t>
        </is>
      </c>
      <c r="G669" t="inlineStr">
        <is>
          <t>1</t>
        </is>
      </c>
      <c r="H669" t="inlineStr">
        <is>
          <t>No</t>
        </is>
      </c>
      <c r="I669" t="inlineStr">
        <is>
          <t>No</t>
        </is>
      </c>
      <c r="J669" t="inlineStr">
        <is>
          <t>0</t>
        </is>
      </c>
      <c r="K669" t="inlineStr">
        <is>
          <t>Cao, Xueqin, approximately 1717-1763.</t>
        </is>
      </c>
      <c r="L669" t="inlineStr">
        <is>
          <t>Harmondsworth, Penguin, 1973-1986.</t>
        </is>
      </c>
      <c r="M669" t="inlineStr">
        <is>
          <t>1973</t>
        </is>
      </c>
      <c r="O669" t="inlineStr">
        <is>
          <t>eng</t>
        </is>
      </c>
      <c r="P669" t="inlineStr">
        <is>
          <t>enk</t>
        </is>
      </c>
      <c r="Q669" t="inlineStr">
        <is>
          <t>Penguin classics</t>
        </is>
      </c>
      <c r="R669" t="inlineStr">
        <is>
          <t xml:space="preserve">PL </t>
        </is>
      </c>
      <c r="S669" t="n">
        <v>13</v>
      </c>
      <c r="T669" t="n">
        <v>30</v>
      </c>
      <c r="U669" t="inlineStr">
        <is>
          <t>2004-09-10</t>
        </is>
      </c>
      <c r="V669" t="inlineStr">
        <is>
          <t>2004-09-10</t>
        </is>
      </c>
      <c r="W669" t="inlineStr">
        <is>
          <t>1996-04-30</t>
        </is>
      </c>
      <c r="X669" t="inlineStr">
        <is>
          <t>1996-09-06</t>
        </is>
      </c>
      <c r="Y669" t="n">
        <v>637</v>
      </c>
      <c r="Z669" t="n">
        <v>526</v>
      </c>
      <c r="AA669" t="n">
        <v>573</v>
      </c>
      <c r="AB669" t="n">
        <v>5</v>
      </c>
      <c r="AC669" t="n">
        <v>5</v>
      </c>
      <c r="AD669" t="n">
        <v>22</v>
      </c>
      <c r="AE669" t="n">
        <v>23</v>
      </c>
      <c r="AF669" t="n">
        <v>9</v>
      </c>
      <c r="AG669" t="n">
        <v>10</v>
      </c>
      <c r="AH669" t="n">
        <v>5</v>
      </c>
      <c r="AI669" t="n">
        <v>5</v>
      </c>
      <c r="AJ669" t="n">
        <v>8</v>
      </c>
      <c r="AK669" t="n">
        <v>8</v>
      </c>
      <c r="AL669" t="n">
        <v>4</v>
      </c>
      <c r="AM669" t="n">
        <v>4</v>
      </c>
      <c r="AN669" t="n">
        <v>0</v>
      </c>
      <c r="AO669" t="n">
        <v>0</v>
      </c>
      <c r="AP669" t="inlineStr">
        <is>
          <t>No</t>
        </is>
      </c>
      <c r="AQ669" t="inlineStr">
        <is>
          <t>Yes</t>
        </is>
      </c>
      <c r="AR669">
        <f>HYPERLINK("http://catalog.hathitrust.org/Record/000760750","HathiTrust Record")</f>
        <v/>
      </c>
      <c r="AS669">
        <f>HYPERLINK("https://creighton-primo.hosted.exlibrisgroup.com/primo-explore/search?tab=default_tab&amp;search_scope=EVERYTHING&amp;vid=01CRU&amp;lang=en_US&amp;offset=0&amp;query=any,contains,991003669359702656","Catalog Record")</f>
        <v/>
      </c>
      <c r="AT669">
        <f>HYPERLINK("http://www.worldcat.org/oclc/1286252","WorldCat Record")</f>
        <v/>
      </c>
      <c r="AU669" t="inlineStr">
        <is>
          <t>10678029540:eng</t>
        </is>
      </c>
      <c r="AV669" t="inlineStr">
        <is>
          <t>1286252</t>
        </is>
      </c>
      <c r="AW669" t="inlineStr">
        <is>
          <t>991003669359702656</t>
        </is>
      </c>
      <c r="AX669" t="inlineStr">
        <is>
          <t>991003669359702656</t>
        </is>
      </c>
      <c r="AY669" t="inlineStr">
        <is>
          <t>2268136260002656</t>
        </is>
      </c>
      <c r="AZ669" t="inlineStr">
        <is>
          <t>BOOK</t>
        </is>
      </c>
      <c r="BB669" t="inlineStr">
        <is>
          <t>9780140442939</t>
        </is>
      </c>
      <c r="BC669" t="inlineStr">
        <is>
          <t>32285002120995</t>
        </is>
      </c>
      <c r="BD669" t="inlineStr">
        <is>
          <t>893717954</t>
        </is>
      </c>
    </row>
    <row r="670">
      <c r="A670" t="inlineStr">
        <is>
          <t>No</t>
        </is>
      </c>
      <c r="B670" t="inlineStr">
        <is>
          <t>PL2732.U22 J889 1978</t>
        </is>
      </c>
      <c r="C670" t="inlineStr">
        <is>
          <t>0                      PL 2732000U  22                 J  889         1978</t>
        </is>
      </c>
      <c r="D670" t="inlineStr">
        <is>
          <t>Wu Ching-tzu / by Timothy C. Wong. --</t>
        </is>
      </c>
      <c r="F670" t="inlineStr">
        <is>
          <t>No</t>
        </is>
      </c>
      <c r="G670" t="inlineStr">
        <is>
          <t>1</t>
        </is>
      </c>
      <c r="H670" t="inlineStr">
        <is>
          <t>No</t>
        </is>
      </c>
      <c r="I670" t="inlineStr">
        <is>
          <t>No</t>
        </is>
      </c>
      <c r="J670" t="inlineStr">
        <is>
          <t>0</t>
        </is>
      </c>
      <c r="K670" t="inlineStr">
        <is>
          <t>Wong, Timothy C.</t>
        </is>
      </c>
      <c r="L670" t="inlineStr">
        <is>
          <t>Boston : Twayne Publishers, c1978.</t>
        </is>
      </c>
      <c r="M670" t="inlineStr">
        <is>
          <t>1978</t>
        </is>
      </c>
      <c r="O670" t="inlineStr">
        <is>
          <t>eng</t>
        </is>
      </c>
      <c r="P670" t="inlineStr">
        <is>
          <t>mau</t>
        </is>
      </c>
      <c r="Q670" t="inlineStr">
        <is>
          <t>Twayne's world authors series ; TWAS 495</t>
        </is>
      </c>
      <c r="R670" t="inlineStr">
        <is>
          <t xml:space="preserve">PL </t>
        </is>
      </c>
      <c r="S670" t="n">
        <v>8</v>
      </c>
      <c r="T670" t="n">
        <v>8</v>
      </c>
      <c r="U670" t="inlineStr">
        <is>
          <t>1997-04-01</t>
        </is>
      </c>
      <c r="V670" t="inlineStr">
        <is>
          <t>1997-04-01</t>
        </is>
      </c>
      <c r="W670" t="inlineStr">
        <is>
          <t>1993-05-05</t>
        </is>
      </c>
      <c r="X670" t="inlineStr">
        <is>
          <t>1993-05-05</t>
        </is>
      </c>
      <c r="Y670" t="n">
        <v>439</v>
      </c>
      <c r="Z670" t="n">
        <v>390</v>
      </c>
      <c r="AA670" t="n">
        <v>396</v>
      </c>
      <c r="AB670" t="n">
        <v>4</v>
      </c>
      <c r="AC670" t="n">
        <v>4</v>
      </c>
      <c r="AD670" t="n">
        <v>16</v>
      </c>
      <c r="AE670" t="n">
        <v>16</v>
      </c>
      <c r="AF670" t="n">
        <v>6</v>
      </c>
      <c r="AG670" t="n">
        <v>6</v>
      </c>
      <c r="AH670" t="n">
        <v>3</v>
      </c>
      <c r="AI670" t="n">
        <v>3</v>
      </c>
      <c r="AJ670" t="n">
        <v>9</v>
      </c>
      <c r="AK670" t="n">
        <v>9</v>
      </c>
      <c r="AL670" t="n">
        <v>3</v>
      </c>
      <c r="AM670" t="n">
        <v>3</v>
      </c>
      <c r="AN670" t="n">
        <v>0</v>
      </c>
      <c r="AO670" t="n">
        <v>0</v>
      </c>
      <c r="AP670" t="inlineStr">
        <is>
          <t>No</t>
        </is>
      </c>
      <c r="AQ670" t="inlineStr">
        <is>
          <t>Yes</t>
        </is>
      </c>
      <c r="AR670">
        <f>HYPERLINK("http://catalog.hathitrust.org/Record/000131464","HathiTrust Record")</f>
        <v/>
      </c>
      <c r="AS670">
        <f>HYPERLINK("https://creighton-primo.hosted.exlibrisgroup.com/primo-explore/search?tab=default_tab&amp;search_scope=EVERYTHING&amp;vid=01CRU&amp;lang=en_US&amp;offset=0&amp;query=any,contains,991004498909702656","Catalog Record")</f>
        <v/>
      </c>
      <c r="AT670">
        <f>HYPERLINK("http://www.worldcat.org/oclc/3708023","WorldCat Record")</f>
        <v/>
      </c>
      <c r="AU670" t="inlineStr">
        <is>
          <t>11815528:eng</t>
        </is>
      </c>
      <c r="AV670" t="inlineStr">
        <is>
          <t>3708023</t>
        </is>
      </c>
      <c r="AW670" t="inlineStr">
        <is>
          <t>991004498909702656</t>
        </is>
      </c>
      <c r="AX670" t="inlineStr">
        <is>
          <t>991004498909702656</t>
        </is>
      </c>
      <c r="AY670" t="inlineStr">
        <is>
          <t>2262730060002656</t>
        </is>
      </c>
      <c r="AZ670" t="inlineStr">
        <is>
          <t>BOOK</t>
        </is>
      </c>
      <c r="BB670" t="inlineStr">
        <is>
          <t>9780805763362</t>
        </is>
      </c>
      <c r="BC670" t="inlineStr">
        <is>
          <t>32285001672491</t>
        </is>
      </c>
      <c r="BD670" t="inlineStr">
        <is>
          <t>893882530</t>
        </is>
      </c>
    </row>
    <row r="671">
      <c r="A671" t="inlineStr">
        <is>
          <t>No</t>
        </is>
      </c>
      <c r="B671" t="inlineStr">
        <is>
          <t>PL2732.U22 S35 1973</t>
        </is>
      </c>
      <c r="C671" t="inlineStr">
        <is>
          <t>0                      PL 2732000U  22                 S  35          1973</t>
        </is>
      </c>
      <c r="D671" t="inlineStr">
        <is>
          <t>The scholars / [Translated by Yang Hsien-yi and Gladys Yang. Author's port. and illus. by Cheng Shih-fa]</t>
        </is>
      </c>
      <c r="F671" t="inlineStr">
        <is>
          <t>No</t>
        </is>
      </c>
      <c r="G671" t="inlineStr">
        <is>
          <t>1</t>
        </is>
      </c>
      <c r="H671" t="inlineStr">
        <is>
          <t>No</t>
        </is>
      </c>
      <c r="I671" t="inlineStr">
        <is>
          <t>No</t>
        </is>
      </c>
      <c r="J671" t="inlineStr">
        <is>
          <t>0</t>
        </is>
      </c>
      <c r="K671" t="inlineStr">
        <is>
          <t>Wu, Jingzi, 1701-1754.</t>
        </is>
      </c>
      <c r="L671" t="inlineStr">
        <is>
          <t>Peking, Foreign Languages Press, 1973.</t>
        </is>
      </c>
      <c r="M671" t="inlineStr">
        <is>
          <t>1973</t>
        </is>
      </c>
      <c r="N671" t="inlineStr">
        <is>
          <t>3rd ed.</t>
        </is>
      </c>
      <c r="O671" t="inlineStr">
        <is>
          <t>eng</t>
        </is>
      </c>
      <c r="P671" t="inlineStr">
        <is>
          <t xml:space="preserve">cc </t>
        </is>
      </c>
      <c r="R671" t="inlineStr">
        <is>
          <t xml:space="preserve">PL </t>
        </is>
      </c>
      <c r="S671" t="n">
        <v>14</v>
      </c>
      <c r="T671" t="n">
        <v>14</v>
      </c>
      <c r="U671" t="inlineStr">
        <is>
          <t>2005-09-27</t>
        </is>
      </c>
      <c r="V671" t="inlineStr">
        <is>
          <t>2005-09-27</t>
        </is>
      </c>
      <c r="W671" t="inlineStr">
        <is>
          <t>1993-05-05</t>
        </is>
      </c>
      <c r="X671" t="inlineStr">
        <is>
          <t>1993-05-05</t>
        </is>
      </c>
      <c r="Y671" t="n">
        <v>293</v>
      </c>
      <c r="Z671" t="n">
        <v>219</v>
      </c>
      <c r="AA671" t="n">
        <v>704</v>
      </c>
      <c r="AB671" t="n">
        <v>1</v>
      </c>
      <c r="AC671" t="n">
        <v>2</v>
      </c>
      <c r="AD671" t="n">
        <v>14</v>
      </c>
      <c r="AE671" t="n">
        <v>31</v>
      </c>
      <c r="AF671" t="n">
        <v>6</v>
      </c>
      <c r="AG671" t="n">
        <v>16</v>
      </c>
      <c r="AH671" t="n">
        <v>4</v>
      </c>
      <c r="AI671" t="n">
        <v>7</v>
      </c>
      <c r="AJ671" t="n">
        <v>8</v>
      </c>
      <c r="AK671" t="n">
        <v>17</v>
      </c>
      <c r="AL671" t="n">
        <v>0</v>
      </c>
      <c r="AM671" t="n">
        <v>1</v>
      </c>
      <c r="AN671" t="n">
        <v>0</v>
      </c>
      <c r="AO671" t="n">
        <v>0</v>
      </c>
      <c r="AP671" t="inlineStr">
        <is>
          <t>No</t>
        </is>
      </c>
      <c r="AQ671" t="inlineStr">
        <is>
          <t>Yes</t>
        </is>
      </c>
      <c r="AR671">
        <f>HYPERLINK("http://catalog.hathitrust.org/Record/001185252","HathiTrust Record")</f>
        <v/>
      </c>
      <c r="AS671">
        <f>HYPERLINK("https://creighton-primo.hosted.exlibrisgroup.com/primo-explore/search?tab=default_tab&amp;search_scope=EVERYTHING&amp;vid=01CRU&amp;lang=en_US&amp;offset=0&amp;query=any,contains,991004357859702656","Catalog Record")</f>
        <v/>
      </c>
      <c r="AT671">
        <f>HYPERLINK("http://www.worldcat.org/oclc/3150079","WorldCat Record")</f>
        <v/>
      </c>
      <c r="AU671" t="inlineStr">
        <is>
          <t>828974:eng</t>
        </is>
      </c>
      <c r="AV671" t="inlineStr">
        <is>
          <t>3150079</t>
        </is>
      </c>
      <c r="AW671" t="inlineStr">
        <is>
          <t>991004357859702656</t>
        </is>
      </c>
      <c r="AX671" t="inlineStr">
        <is>
          <t>991004357859702656</t>
        </is>
      </c>
      <c r="AY671" t="inlineStr">
        <is>
          <t>2259790870002656</t>
        </is>
      </c>
      <c r="AZ671" t="inlineStr">
        <is>
          <t>BOOK</t>
        </is>
      </c>
      <c r="BC671" t="inlineStr">
        <is>
          <t>32285001672509</t>
        </is>
      </c>
      <c r="BD671" t="inlineStr">
        <is>
          <t>893869623</t>
        </is>
      </c>
    </row>
    <row r="672">
      <c r="A672" t="inlineStr">
        <is>
          <t>No</t>
        </is>
      </c>
      <c r="B672" t="inlineStr">
        <is>
          <t>PL2754.S5 A294 1980</t>
        </is>
      </c>
      <c r="C672" t="inlineStr">
        <is>
          <t>0                      PL 2754000S  5                  A  294         1980</t>
        </is>
      </c>
      <c r="D672" t="inlineStr">
        <is>
          <t>Lu Xun, selected works / translated by Yang Xianyi and Gladys Yang.</t>
        </is>
      </c>
      <c r="E672" t="inlineStr">
        <is>
          <t>V.2</t>
        </is>
      </c>
      <c r="F672" t="inlineStr">
        <is>
          <t>Yes</t>
        </is>
      </c>
      <c r="G672" t="inlineStr">
        <is>
          <t>1</t>
        </is>
      </c>
      <c r="H672" t="inlineStr">
        <is>
          <t>No</t>
        </is>
      </c>
      <c r="I672" t="inlineStr">
        <is>
          <t>No</t>
        </is>
      </c>
      <c r="J672" t="inlineStr">
        <is>
          <t>0</t>
        </is>
      </c>
      <c r="K672" t="inlineStr">
        <is>
          <t>Lu, Xun, 1881-1936.</t>
        </is>
      </c>
      <c r="L672" t="inlineStr">
        <is>
          <t>Beijing : Foreign Languages Press, 1980.</t>
        </is>
      </c>
      <c r="M672" t="inlineStr">
        <is>
          <t>1980</t>
        </is>
      </c>
      <c r="O672" t="inlineStr">
        <is>
          <t>eng</t>
        </is>
      </c>
      <c r="P672" t="inlineStr">
        <is>
          <t xml:space="preserve">xx </t>
        </is>
      </c>
      <c r="R672" t="inlineStr">
        <is>
          <t xml:space="preserve">PL </t>
        </is>
      </c>
      <c r="S672" t="n">
        <v>17</v>
      </c>
      <c r="T672" t="n">
        <v>73</v>
      </c>
      <c r="U672" t="inlineStr">
        <is>
          <t>2006-02-03</t>
        </is>
      </c>
      <c r="V672" t="inlineStr">
        <is>
          <t>2009-10-15</t>
        </is>
      </c>
      <c r="W672" t="inlineStr">
        <is>
          <t>1993-05-05</t>
        </is>
      </c>
      <c r="X672" t="inlineStr">
        <is>
          <t>1993-05-05</t>
        </is>
      </c>
      <c r="Y672" t="n">
        <v>207</v>
      </c>
      <c r="Z672" t="n">
        <v>155</v>
      </c>
      <c r="AA672" t="n">
        <v>166</v>
      </c>
      <c r="AB672" t="n">
        <v>2</v>
      </c>
      <c r="AC672" t="n">
        <v>2</v>
      </c>
      <c r="AD672" t="n">
        <v>6</v>
      </c>
      <c r="AE672" t="n">
        <v>6</v>
      </c>
      <c r="AF672" t="n">
        <v>3</v>
      </c>
      <c r="AG672" t="n">
        <v>3</v>
      </c>
      <c r="AH672" t="n">
        <v>1</v>
      </c>
      <c r="AI672" t="n">
        <v>1</v>
      </c>
      <c r="AJ672" t="n">
        <v>3</v>
      </c>
      <c r="AK672" t="n">
        <v>3</v>
      </c>
      <c r="AL672" t="n">
        <v>1</v>
      </c>
      <c r="AM672" t="n">
        <v>1</v>
      </c>
      <c r="AN672" t="n">
        <v>0</v>
      </c>
      <c r="AO672" t="n">
        <v>0</v>
      </c>
      <c r="AP672" t="inlineStr">
        <is>
          <t>No</t>
        </is>
      </c>
      <c r="AQ672" t="inlineStr">
        <is>
          <t>Yes</t>
        </is>
      </c>
      <c r="AR672">
        <f>HYPERLINK("http://catalog.hathitrust.org/Record/000289230","HathiTrust Record")</f>
        <v/>
      </c>
      <c r="AS672">
        <f>HYPERLINK("https://creighton-primo.hosted.exlibrisgroup.com/primo-explore/search?tab=default_tab&amp;search_scope=EVERYTHING&amp;vid=01CRU&amp;lang=en_US&amp;offset=0&amp;query=any,contains,991005084639702656","Catalog Record")</f>
        <v/>
      </c>
      <c r="AT672">
        <f>HYPERLINK("http://www.worldcat.org/oclc/7179693","WorldCat Record")</f>
        <v/>
      </c>
      <c r="AU672" t="inlineStr">
        <is>
          <t>5090456470:eng</t>
        </is>
      </c>
      <c r="AV672" t="inlineStr">
        <is>
          <t>7179693</t>
        </is>
      </c>
      <c r="AW672" t="inlineStr">
        <is>
          <t>991005084639702656</t>
        </is>
      </c>
      <c r="AX672" t="inlineStr">
        <is>
          <t>991005084639702656</t>
        </is>
      </c>
      <c r="AY672" t="inlineStr">
        <is>
          <t>2270431040002656</t>
        </is>
      </c>
      <c r="AZ672" t="inlineStr">
        <is>
          <t>BOOK</t>
        </is>
      </c>
      <c r="BC672" t="inlineStr">
        <is>
          <t>32285001672525</t>
        </is>
      </c>
      <c r="BD672" t="inlineStr">
        <is>
          <t>893606801</t>
        </is>
      </c>
    </row>
    <row r="673">
      <c r="A673" t="inlineStr">
        <is>
          <t>No</t>
        </is>
      </c>
      <c r="B673" t="inlineStr">
        <is>
          <t>PL2754.S5 A294 1980</t>
        </is>
      </c>
      <c r="C673" t="inlineStr">
        <is>
          <t>0                      PL 2754000S  5                  A  294         1980</t>
        </is>
      </c>
      <c r="D673" t="inlineStr">
        <is>
          <t>Lu Xun, selected works / translated by Yang Xianyi and Gladys Yang.</t>
        </is>
      </c>
      <c r="E673" t="inlineStr">
        <is>
          <t>V.1</t>
        </is>
      </c>
      <c r="F673" t="inlineStr">
        <is>
          <t>Yes</t>
        </is>
      </c>
      <c r="G673" t="inlineStr">
        <is>
          <t>1</t>
        </is>
      </c>
      <c r="H673" t="inlineStr">
        <is>
          <t>No</t>
        </is>
      </c>
      <c r="I673" t="inlineStr">
        <is>
          <t>No</t>
        </is>
      </c>
      <c r="J673" t="inlineStr">
        <is>
          <t>0</t>
        </is>
      </c>
      <c r="K673" t="inlineStr">
        <is>
          <t>Lu, Xun, 1881-1936.</t>
        </is>
      </c>
      <c r="L673" t="inlineStr">
        <is>
          <t>Beijing : Foreign Languages Press, 1980.</t>
        </is>
      </c>
      <c r="M673" t="inlineStr">
        <is>
          <t>1980</t>
        </is>
      </c>
      <c r="O673" t="inlineStr">
        <is>
          <t>eng</t>
        </is>
      </c>
      <c r="P673" t="inlineStr">
        <is>
          <t xml:space="preserve">xx </t>
        </is>
      </c>
      <c r="R673" t="inlineStr">
        <is>
          <t xml:space="preserve">PL </t>
        </is>
      </c>
      <c r="S673" t="n">
        <v>27</v>
      </c>
      <c r="T673" t="n">
        <v>73</v>
      </c>
      <c r="U673" t="inlineStr">
        <is>
          <t>2009-10-15</t>
        </is>
      </c>
      <c r="V673" t="inlineStr">
        <is>
          <t>2009-10-15</t>
        </is>
      </c>
      <c r="W673" t="inlineStr">
        <is>
          <t>1993-05-05</t>
        </is>
      </c>
      <c r="X673" t="inlineStr">
        <is>
          <t>1993-05-05</t>
        </is>
      </c>
      <c r="Y673" t="n">
        <v>207</v>
      </c>
      <c r="Z673" t="n">
        <v>155</v>
      </c>
      <c r="AA673" t="n">
        <v>166</v>
      </c>
      <c r="AB673" t="n">
        <v>2</v>
      </c>
      <c r="AC673" t="n">
        <v>2</v>
      </c>
      <c r="AD673" t="n">
        <v>6</v>
      </c>
      <c r="AE673" t="n">
        <v>6</v>
      </c>
      <c r="AF673" t="n">
        <v>3</v>
      </c>
      <c r="AG673" t="n">
        <v>3</v>
      </c>
      <c r="AH673" t="n">
        <v>1</v>
      </c>
      <c r="AI673" t="n">
        <v>1</v>
      </c>
      <c r="AJ673" t="n">
        <v>3</v>
      </c>
      <c r="AK673" t="n">
        <v>3</v>
      </c>
      <c r="AL673" t="n">
        <v>1</v>
      </c>
      <c r="AM673" t="n">
        <v>1</v>
      </c>
      <c r="AN673" t="n">
        <v>0</v>
      </c>
      <c r="AO673" t="n">
        <v>0</v>
      </c>
      <c r="AP673" t="inlineStr">
        <is>
          <t>No</t>
        </is>
      </c>
      <c r="AQ673" t="inlineStr">
        <is>
          <t>Yes</t>
        </is>
      </c>
      <c r="AR673">
        <f>HYPERLINK("http://catalog.hathitrust.org/Record/000289230","HathiTrust Record")</f>
        <v/>
      </c>
      <c r="AS673">
        <f>HYPERLINK("https://creighton-primo.hosted.exlibrisgroup.com/primo-explore/search?tab=default_tab&amp;search_scope=EVERYTHING&amp;vid=01CRU&amp;lang=en_US&amp;offset=0&amp;query=any,contains,991005084639702656","Catalog Record")</f>
        <v/>
      </c>
      <c r="AT673">
        <f>HYPERLINK("http://www.worldcat.org/oclc/7179693","WorldCat Record")</f>
        <v/>
      </c>
      <c r="AU673" t="inlineStr">
        <is>
          <t>5090456470:eng</t>
        </is>
      </c>
      <c r="AV673" t="inlineStr">
        <is>
          <t>7179693</t>
        </is>
      </c>
      <c r="AW673" t="inlineStr">
        <is>
          <t>991005084639702656</t>
        </is>
      </c>
      <c r="AX673" t="inlineStr">
        <is>
          <t>991005084639702656</t>
        </is>
      </c>
      <c r="AY673" t="inlineStr">
        <is>
          <t>2270431040002656</t>
        </is>
      </c>
      <c r="AZ673" t="inlineStr">
        <is>
          <t>BOOK</t>
        </is>
      </c>
      <c r="BC673" t="inlineStr">
        <is>
          <t>32285001672517</t>
        </is>
      </c>
      <c r="BD673" t="inlineStr">
        <is>
          <t>893625419</t>
        </is>
      </c>
    </row>
    <row r="674">
      <c r="A674" t="inlineStr">
        <is>
          <t>No</t>
        </is>
      </c>
      <c r="B674" t="inlineStr">
        <is>
          <t>PL2754.S5 A294 1980</t>
        </is>
      </c>
      <c r="C674" t="inlineStr">
        <is>
          <t>0                      PL 2754000S  5                  A  294         1980</t>
        </is>
      </c>
      <c r="D674" t="inlineStr">
        <is>
          <t>Lu Xun, selected works / translated by Yang Xianyi and Gladys Yang.</t>
        </is>
      </c>
      <c r="E674" t="inlineStr">
        <is>
          <t>V.3</t>
        </is>
      </c>
      <c r="F674" t="inlineStr">
        <is>
          <t>Yes</t>
        </is>
      </c>
      <c r="G674" t="inlineStr">
        <is>
          <t>1</t>
        </is>
      </c>
      <c r="H674" t="inlineStr">
        <is>
          <t>No</t>
        </is>
      </c>
      <c r="I674" t="inlineStr">
        <is>
          <t>No</t>
        </is>
      </c>
      <c r="J674" t="inlineStr">
        <is>
          <t>0</t>
        </is>
      </c>
      <c r="K674" t="inlineStr">
        <is>
          <t>Lu, Xun, 1881-1936.</t>
        </is>
      </c>
      <c r="L674" t="inlineStr">
        <is>
          <t>Beijing : Foreign Languages Press, 1980.</t>
        </is>
      </c>
      <c r="M674" t="inlineStr">
        <is>
          <t>1980</t>
        </is>
      </c>
      <c r="O674" t="inlineStr">
        <is>
          <t>eng</t>
        </is>
      </c>
      <c r="P674" t="inlineStr">
        <is>
          <t xml:space="preserve">xx </t>
        </is>
      </c>
      <c r="R674" t="inlineStr">
        <is>
          <t xml:space="preserve">PL </t>
        </is>
      </c>
      <c r="S674" t="n">
        <v>14</v>
      </c>
      <c r="T674" t="n">
        <v>73</v>
      </c>
      <c r="U674" t="inlineStr">
        <is>
          <t>2006-02-03</t>
        </is>
      </c>
      <c r="V674" t="inlineStr">
        <is>
          <t>2009-10-15</t>
        </is>
      </c>
      <c r="W674" t="inlineStr">
        <is>
          <t>1993-05-05</t>
        </is>
      </c>
      <c r="X674" t="inlineStr">
        <is>
          <t>1993-05-05</t>
        </is>
      </c>
      <c r="Y674" t="n">
        <v>207</v>
      </c>
      <c r="Z674" t="n">
        <v>155</v>
      </c>
      <c r="AA674" t="n">
        <v>166</v>
      </c>
      <c r="AB674" t="n">
        <v>2</v>
      </c>
      <c r="AC674" t="n">
        <v>2</v>
      </c>
      <c r="AD674" t="n">
        <v>6</v>
      </c>
      <c r="AE674" t="n">
        <v>6</v>
      </c>
      <c r="AF674" t="n">
        <v>3</v>
      </c>
      <c r="AG674" t="n">
        <v>3</v>
      </c>
      <c r="AH674" t="n">
        <v>1</v>
      </c>
      <c r="AI674" t="n">
        <v>1</v>
      </c>
      <c r="AJ674" t="n">
        <v>3</v>
      </c>
      <c r="AK674" t="n">
        <v>3</v>
      </c>
      <c r="AL674" t="n">
        <v>1</v>
      </c>
      <c r="AM674" t="n">
        <v>1</v>
      </c>
      <c r="AN674" t="n">
        <v>0</v>
      </c>
      <c r="AO674" t="n">
        <v>0</v>
      </c>
      <c r="AP674" t="inlineStr">
        <is>
          <t>No</t>
        </is>
      </c>
      <c r="AQ674" t="inlineStr">
        <is>
          <t>Yes</t>
        </is>
      </c>
      <c r="AR674">
        <f>HYPERLINK("http://catalog.hathitrust.org/Record/000289230","HathiTrust Record")</f>
        <v/>
      </c>
      <c r="AS674">
        <f>HYPERLINK("https://creighton-primo.hosted.exlibrisgroup.com/primo-explore/search?tab=default_tab&amp;search_scope=EVERYTHING&amp;vid=01CRU&amp;lang=en_US&amp;offset=0&amp;query=any,contains,991005084639702656","Catalog Record")</f>
        <v/>
      </c>
      <c r="AT674">
        <f>HYPERLINK("http://www.worldcat.org/oclc/7179693","WorldCat Record")</f>
        <v/>
      </c>
      <c r="AU674" t="inlineStr">
        <is>
          <t>5090456470:eng</t>
        </is>
      </c>
      <c r="AV674" t="inlineStr">
        <is>
          <t>7179693</t>
        </is>
      </c>
      <c r="AW674" t="inlineStr">
        <is>
          <t>991005084639702656</t>
        </is>
      </c>
      <c r="AX674" t="inlineStr">
        <is>
          <t>991005084639702656</t>
        </is>
      </c>
      <c r="AY674" t="inlineStr">
        <is>
          <t>2270431040002656</t>
        </is>
      </c>
      <c r="AZ674" t="inlineStr">
        <is>
          <t>BOOK</t>
        </is>
      </c>
      <c r="BC674" t="inlineStr">
        <is>
          <t>32285001672533</t>
        </is>
      </c>
      <c r="BD674" t="inlineStr">
        <is>
          <t>893606800</t>
        </is>
      </c>
    </row>
    <row r="675">
      <c r="A675" t="inlineStr">
        <is>
          <t>No</t>
        </is>
      </c>
      <c r="B675" t="inlineStr">
        <is>
          <t>PL2754.S5 A294 1980</t>
        </is>
      </c>
      <c r="C675" t="inlineStr">
        <is>
          <t>0                      PL 2754000S  5                  A  294         1980</t>
        </is>
      </c>
      <c r="D675" t="inlineStr">
        <is>
          <t>Lu Xun, selected works / translated by Yang Xianyi and Gladys Yang.</t>
        </is>
      </c>
      <c r="E675" t="inlineStr">
        <is>
          <t>V.4</t>
        </is>
      </c>
      <c r="F675" t="inlineStr">
        <is>
          <t>Yes</t>
        </is>
      </c>
      <c r="G675" t="inlineStr">
        <is>
          <t>1</t>
        </is>
      </c>
      <c r="H675" t="inlineStr">
        <is>
          <t>No</t>
        </is>
      </c>
      <c r="I675" t="inlineStr">
        <is>
          <t>No</t>
        </is>
      </c>
      <c r="J675" t="inlineStr">
        <is>
          <t>0</t>
        </is>
      </c>
      <c r="K675" t="inlineStr">
        <is>
          <t>Lu, Xun, 1881-1936.</t>
        </is>
      </c>
      <c r="L675" t="inlineStr">
        <is>
          <t>Beijing : Foreign Languages Press, 1980.</t>
        </is>
      </c>
      <c r="M675" t="inlineStr">
        <is>
          <t>1980</t>
        </is>
      </c>
      <c r="O675" t="inlineStr">
        <is>
          <t>eng</t>
        </is>
      </c>
      <c r="P675" t="inlineStr">
        <is>
          <t xml:space="preserve">xx </t>
        </is>
      </c>
      <c r="R675" t="inlineStr">
        <is>
          <t xml:space="preserve">PL </t>
        </is>
      </c>
      <c r="S675" t="n">
        <v>15</v>
      </c>
      <c r="T675" t="n">
        <v>73</v>
      </c>
      <c r="U675" t="inlineStr">
        <is>
          <t>2007-04-04</t>
        </is>
      </c>
      <c r="V675" t="inlineStr">
        <is>
          <t>2009-10-15</t>
        </is>
      </c>
      <c r="W675" t="inlineStr">
        <is>
          <t>1993-05-05</t>
        </is>
      </c>
      <c r="X675" t="inlineStr">
        <is>
          <t>1993-05-05</t>
        </is>
      </c>
      <c r="Y675" t="n">
        <v>207</v>
      </c>
      <c r="Z675" t="n">
        <v>155</v>
      </c>
      <c r="AA675" t="n">
        <v>166</v>
      </c>
      <c r="AB675" t="n">
        <v>2</v>
      </c>
      <c r="AC675" t="n">
        <v>2</v>
      </c>
      <c r="AD675" t="n">
        <v>6</v>
      </c>
      <c r="AE675" t="n">
        <v>6</v>
      </c>
      <c r="AF675" t="n">
        <v>3</v>
      </c>
      <c r="AG675" t="n">
        <v>3</v>
      </c>
      <c r="AH675" t="n">
        <v>1</v>
      </c>
      <c r="AI675" t="n">
        <v>1</v>
      </c>
      <c r="AJ675" t="n">
        <v>3</v>
      </c>
      <c r="AK675" t="n">
        <v>3</v>
      </c>
      <c r="AL675" t="n">
        <v>1</v>
      </c>
      <c r="AM675" t="n">
        <v>1</v>
      </c>
      <c r="AN675" t="n">
        <v>0</v>
      </c>
      <c r="AO675" t="n">
        <v>0</v>
      </c>
      <c r="AP675" t="inlineStr">
        <is>
          <t>No</t>
        </is>
      </c>
      <c r="AQ675" t="inlineStr">
        <is>
          <t>Yes</t>
        </is>
      </c>
      <c r="AR675">
        <f>HYPERLINK("http://catalog.hathitrust.org/Record/000289230","HathiTrust Record")</f>
        <v/>
      </c>
      <c r="AS675">
        <f>HYPERLINK("https://creighton-primo.hosted.exlibrisgroup.com/primo-explore/search?tab=default_tab&amp;search_scope=EVERYTHING&amp;vid=01CRU&amp;lang=en_US&amp;offset=0&amp;query=any,contains,991005084639702656","Catalog Record")</f>
        <v/>
      </c>
      <c r="AT675">
        <f>HYPERLINK("http://www.worldcat.org/oclc/7179693","WorldCat Record")</f>
        <v/>
      </c>
      <c r="AU675" t="inlineStr">
        <is>
          <t>5090456470:eng</t>
        </is>
      </c>
      <c r="AV675" t="inlineStr">
        <is>
          <t>7179693</t>
        </is>
      </c>
      <c r="AW675" t="inlineStr">
        <is>
          <t>991005084639702656</t>
        </is>
      </c>
      <c r="AX675" t="inlineStr">
        <is>
          <t>991005084639702656</t>
        </is>
      </c>
      <c r="AY675" t="inlineStr">
        <is>
          <t>2270431040002656</t>
        </is>
      </c>
      <c r="AZ675" t="inlineStr">
        <is>
          <t>BOOK</t>
        </is>
      </c>
      <c r="BC675" t="inlineStr">
        <is>
          <t>32285001672541</t>
        </is>
      </c>
      <c r="BD675" t="inlineStr">
        <is>
          <t>893625418</t>
        </is>
      </c>
    </row>
    <row r="676">
      <c r="A676" t="inlineStr">
        <is>
          <t>No</t>
        </is>
      </c>
      <c r="B676" t="inlineStr">
        <is>
          <t>PL2754.S5 A3</t>
        </is>
      </c>
      <c r="C676" t="inlineStr">
        <is>
          <t>0                      PL 2754000S  5                  A  3</t>
        </is>
      </c>
      <c r="D676" t="inlineStr">
        <is>
          <t>Ah Q and others : selected stories of Lusin / translated [from the Chinese] by Chi-chen Wang.</t>
        </is>
      </c>
      <c r="F676" t="inlineStr">
        <is>
          <t>No</t>
        </is>
      </c>
      <c r="G676" t="inlineStr">
        <is>
          <t>1</t>
        </is>
      </c>
      <c r="H676" t="inlineStr">
        <is>
          <t>No</t>
        </is>
      </c>
      <c r="I676" t="inlineStr">
        <is>
          <t>No</t>
        </is>
      </c>
      <c r="J676" t="inlineStr">
        <is>
          <t>0</t>
        </is>
      </c>
      <c r="K676" t="inlineStr">
        <is>
          <t>Lu, Xun, 1881-1936.</t>
        </is>
      </c>
      <c r="L676" t="inlineStr">
        <is>
          <t>Westport, Conn., Greenwood Press [1971, c1941]</t>
        </is>
      </c>
      <c r="M676" t="inlineStr">
        <is>
          <t>1971</t>
        </is>
      </c>
      <c r="O676" t="inlineStr">
        <is>
          <t>eng</t>
        </is>
      </c>
      <c r="P676" t="inlineStr">
        <is>
          <t>ctu</t>
        </is>
      </c>
      <c r="R676" t="inlineStr">
        <is>
          <t xml:space="preserve">PL </t>
        </is>
      </c>
      <c r="S676" t="n">
        <v>5</v>
      </c>
      <c r="T676" t="n">
        <v>5</v>
      </c>
      <c r="U676" t="inlineStr">
        <is>
          <t>2007-04-04</t>
        </is>
      </c>
      <c r="V676" t="inlineStr">
        <is>
          <t>2007-04-04</t>
        </is>
      </c>
      <c r="W676" t="inlineStr">
        <is>
          <t>1997-10-28</t>
        </is>
      </c>
      <c r="X676" t="inlineStr">
        <is>
          <t>1997-10-28</t>
        </is>
      </c>
      <c r="Y676" t="n">
        <v>143</v>
      </c>
      <c r="Z676" t="n">
        <v>126</v>
      </c>
      <c r="AA676" t="n">
        <v>290</v>
      </c>
      <c r="AB676" t="n">
        <v>1</v>
      </c>
      <c r="AC676" t="n">
        <v>2</v>
      </c>
      <c r="AD676" t="n">
        <v>7</v>
      </c>
      <c r="AE676" t="n">
        <v>11</v>
      </c>
      <c r="AF676" t="n">
        <v>3</v>
      </c>
      <c r="AG676" t="n">
        <v>6</v>
      </c>
      <c r="AH676" t="n">
        <v>2</v>
      </c>
      <c r="AI676" t="n">
        <v>2</v>
      </c>
      <c r="AJ676" t="n">
        <v>4</v>
      </c>
      <c r="AK676" t="n">
        <v>5</v>
      </c>
      <c r="AL676" t="n">
        <v>0</v>
      </c>
      <c r="AM676" t="n">
        <v>1</v>
      </c>
      <c r="AN676" t="n">
        <v>0</v>
      </c>
      <c r="AO676" t="n">
        <v>0</v>
      </c>
      <c r="AP676" t="inlineStr">
        <is>
          <t>No</t>
        </is>
      </c>
      <c r="AQ676" t="inlineStr">
        <is>
          <t>Yes</t>
        </is>
      </c>
      <c r="AR676">
        <f>HYPERLINK("http://catalog.hathitrust.org/Record/000003018","HathiTrust Record")</f>
        <v/>
      </c>
      <c r="AS676">
        <f>HYPERLINK("https://creighton-primo.hosted.exlibrisgroup.com/primo-explore/search?tab=default_tab&amp;search_scope=EVERYTHING&amp;vid=01CRU&amp;lang=en_US&amp;offset=0&amp;query=any,contains,991001240619702656","Catalog Record")</f>
        <v/>
      </c>
      <c r="AT676">
        <f>HYPERLINK("http://www.worldcat.org/oclc/207837","WorldCat Record")</f>
        <v/>
      </c>
      <c r="AU676" t="inlineStr">
        <is>
          <t>51682605:eng</t>
        </is>
      </c>
      <c r="AV676" t="inlineStr">
        <is>
          <t>207837</t>
        </is>
      </c>
      <c r="AW676" t="inlineStr">
        <is>
          <t>991001240619702656</t>
        </is>
      </c>
      <c r="AX676" t="inlineStr">
        <is>
          <t>991001240619702656</t>
        </is>
      </c>
      <c r="AY676" t="inlineStr">
        <is>
          <t>2266982270002656</t>
        </is>
      </c>
      <c r="AZ676" t="inlineStr">
        <is>
          <t>BOOK</t>
        </is>
      </c>
      <c r="BB676" t="inlineStr">
        <is>
          <t>9780837159652</t>
        </is>
      </c>
      <c r="BC676" t="inlineStr">
        <is>
          <t>32285003258927</t>
        </is>
      </c>
      <c r="BD676" t="inlineStr">
        <is>
          <t>893690459</t>
        </is>
      </c>
    </row>
    <row r="677">
      <c r="A677" t="inlineStr">
        <is>
          <t>No</t>
        </is>
      </c>
      <c r="B677" t="inlineStr">
        <is>
          <t>PL2754.S5 Z82813</t>
        </is>
      </c>
      <c r="C677" t="inlineStr">
        <is>
          <t>0                      PL 2754000S  5                  Z  82813</t>
        </is>
      </c>
      <c r="D677" t="inlineStr">
        <is>
          <t>Lu Hsün and his predecessors / V. I. Semanov ; translated and edited by Charles J. Alber.</t>
        </is>
      </c>
      <c r="F677" t="inlineStr">
        <is>
          <t>No</t>
        </is>
      </c>
      <c r="G677" t="inlineStr">
        <is>
          <t>1</t>
        </is>
      </c>
      <c r="H677" t="inlineStr">
        <is>
          <t>No</t>
        </is>
      </c>
      <c r="I677" t="inlineStr">
        <is>
          <t>No</t>
        </is>
      </c>
      <c r="J677" t="inlineStr">
        <is>
          <t>0</t>
        </is>
      </c>
      <c r="K677" t="inlineStr">
        <is>
          <t>Semanov, V. I. (Vladimir Ivanovich)</t>
        </is>
      </c>
      <c r="L677" t="inlineStr">
        <is>
          <t>White Plains, N.Y. : M. E. Sharpe, c1980.</t>
        </is>
      </c>
      <c r="M677" t="inlineStr">
        <is>
          <t>1980</t>
        </is>
      </c>
      <c r="O677" t="inlineStr">
        <is>
          <t>eng</t>
        </is>
      </c>
      <c r="P677" t="inlineStr">
        <is>
          <t>nyu</t>
        </is>
      </c>
      <c r="R677" t="inlineStr">
        <is>
          <t xml:space="preserve">PL </t>
        </is>
      </c>
      <c r="S677" t="n">
        <v>20</v>
      </c>
      <c r="T677" t="n">
        <v>20</v>
      </c>
      <c r="U677" t="inlineStr">
        <is>
          <t>2005-04-04</t>
        </is>
      </c>
      <c r="V677" t="inlineStr">
        <is>
          <t>2005-04-04</t>
        </is>
      </c>
      <c r="W677" t="inlineStr">
        <is>
          <t>1993-05-05</t>
        </is>
      </c>
      <c r="X677" t="inlineStr">
        <is>
          <t>1993-05-05</t>
        </is>
      </c>
      <c r="Y677" t="n">
        <v>268</v>
      </c>
      <c r="Z677" t="n">
        <v>217</v>
      </c>
      <c r="AA677" t="n">
        <v>258</v>
      </c>
      <c r="AB677" t="n">
        <v>1</v>
      </c>
      <c r="AC677" t="n">
        <v>1</v>
      </c>
      <c r="AD677" t="n">
        <v>10</v>
      </c>
      <c r="AE677" t="n">
        <v>10</v>
      </c>
      <c r="AF677" t="n">
        <v>2</v>
      </c>
      <c r="AG677" t="n">
        <v>2</v>
      </c>
      <c r="AH677" t="n">
        <v>3</v>
      </c>
      <c r="AI677" t="n">
        <v>3</v>
      </c>
      <c r="AJ677" t="n">
        <v>7</v>
      </c>
      <c r="AK677" t="n">
        <v>7</v>
      </c>
      <c r="AL677" t="n">
        <v>0</v>
      </c>
      <c r="AM677" t="n">
        <v>0</v>
      </c>
      <c r="AN677" t="n">
        <v>0</v>
      </c>
      <c r="AO677" t="n">
        <v>0</v>
      </c>
      <c r="AP677" t="inlineStr">
        <is>
          <t>No</t>
        </is>
      </c>
      <c r="AQ677" t="inlineStr">
        <is>
          <t>Yes</t>
        </is>
      </c>
      <c r="AR677">
        <f>HYPERLINK("http://catalog.hathitrust.org/Record/000737859","HathiTrust Record")</f>
        <v/>
      </c>
      <c r="AS677">
        <f>HYPERLINK("https://creighton-primo.hosted.exlibrisgroup.com/primo-explore/search?tab=default_tab&amp;search_scope=EVERYTHING&amp;vid=01CRU&amp;lang=en_US&amp;offset=0&amp;query=any,contains,991004970889702656","Catalog Record")</f>
        <v/>
      </c>
      <c r="AT677">
        <f>HYPERLINK("http://www.worldcat.org/oclc/6357609","WorldCat Record")</f>
        <v/>
      </c>
      <c r="AU677" t="inlineStr">
        <is>
          <t>144669636:eng</t>
        </is>
      </c>
      <c r="AV677" t="inlineStr">
        <is>
          <t>6357609</t>
        </is>
      </c>
      <c r="AW677" t="inlineStr">
        <is>
          <t>991004970889702656</t>
        </is>
      </c>
      <c r="AX677" t="inlineStr">
        <is>
          <t>991004970889702656</t>
        </is>
      </c>
      <c r="AY677" t="inlineStr">
        <is>
          <t>2255946400002656</t>
        </is>
      </c>
      <c r="AZ677" t="inlineStr">
        <is>
          <t>BOOK</t>
        </is>
      </c>
      <c r="BB677" t="inlineStr">
        <is>
          <t>9780873321532</t>
        </is>
      </c>
      <c r="BC677" t="inlineStr">
        <is>
          <t>32285001672558</t>
        </is>
      </c>
      <c r="BD677" t="inlineStr">
        <is>
          <t>893418213</t>
        </is>
      </c>
    </row>
    <row r="678">
      <c r="A678" t="inlineStr">
        <is>
          <t>No</t>
        </is>
      </c>
      <c r="B678" t="inlineStr">
        <is>
          <t>PL2754.T75 Z665 2000</t>
        </is>
      </c>
      <c r="C678" t="inlineStr">
        <is>
          <t>0                      PL 2754000T  75                 Z  665         2000</t>
        </is>
      </c>
      <c r="D678" t="inlineStr">
        <is>
          <t>Zhou Zuoren and an alternative Chinese response to modernity / Susan Daruvala.</t>
        </is>
      </c>
      <c r="F678" t="inlineStr">
        <is>
          <t>No</t>
        </is>
      </c>
      <c r="G678" t="inlineStr">
        <is>
          <t>1</t>
        </is>
      </c>
      <c r="H678" t="inlineStr">
        <is>
          <t>No</t>
        </is>
      </c>
      <c r="I678" t="inlineStr">
        <is>
          <t>No</t>
        </is>
      </c>
      <c r="J678" t="inlineStr">
        <is>
          <t>0</t>
        </is>
      </c>
      <c r="K678" t="inlineStr">
        <is>
          <t>Daruvala, Susan, 1949-</t>
        </is>
      </c>
      <c r="L678" t="inlineStr">
        <is>
          <t>Cambridge, Mass. : Harvard University Asia Center : Distributed by Harvard University Press, 2000.</t>
        </is>
      </c>
      <c r="M678" t="inlineStr">
        <is>
          <t>2000</t>
        </is>
      </c>
      <c r="O678" t="inlineStr">
        <is>
          <t>eng</t>
        </is>
      </c>
      <c r="P678" t="inlineStr">
        <is>
          <t>mau</t>
        </is>
      </c>
      <c r="Q678" t="inlineStr">
        <is>
          <t>Harvard East Asian monographs ; 189</t>
        </is>
      </c>
      <c r="R678" t="inlineStr">
        <is>
          <t xml:space="preserve">PL </t>
        </is>
      </c>
      <c r="S678" t="n">
        <v>1</v>
      </c>
      <c r="T678" t="n">
        <v>1</v>
      </c>
      <c r="U678" t="inlineStr">
        <is>
          <t>2001-05-03</t>
        </is>
      </c>
      <c r="V678" t="inlineStr">
        <is>
          <t>2001-05-03</t>
        </is>
      </c>
      <c r="W678" t="inlineStr">
        <is>
          <t>2001-05-03</t>
        </is>
      </c>
      <c r="X678" t="inlineStr">
        <is>
          <t>2001-05-03</t>
        </is>
      </c>
      <c r="Y678" t="n">
        <v>277</v>
      </c>
      <c r="Z678" t="n">
        <v>197</v>
      </c>
      <c r="AA678" t="n">
        <v>255</v>
      </c>
      <c r="AB678" t="n">
        <v>2</v>
      </c>
      <c r="AC678" t="n">
        <v>3</v>
      </c>
      <c r="AD678" t="n">
        <v>10</v>
      </c>
      <c r="AE678" t="n">
        <v>16</v>
      </c>
      <c r="AF678" t="n">
        <v>4</v>
      </c>
      <c r="AG678" t="n">
        <v>8</v>
      </c>
      <c r="AH678" t="n">
        <v>4</v>
      </c>
      <c r="AI678" t="n">
        <v>5</v>
      </c>
      <c r="AJ678" t="n">
        <v>5</v>
      </c>
      <c r="AK678" t="n">
        <v>6</v>
      </c>
      <c r="AL678" t="n">
        <v>1</v>
      </c>
      <c r="AM678" t="n">
        <v>2</v>
      </c>
      <c r="AN678" t="n">
        <v>0</v>
      </c>
      <c r="AO678" t="n">
        <v>0</v>
      </c>
      <c r="AP678" t="inlineStr">
        <is>
          <t>No</t>
        </is>
      </c>
      <c r="AQ678" t="inlineStr">
        <is>
          <t>Yes</t>
        </is>
      </c>
      <c r="AR678">
        <f>HYPERLINK("http://catalog.hathitrust.org/Record/003505677","HathiTrust Record")</f>
        <v/>
      </c>
      <c r="AS678">
        <f>HYPERLINK("https://creighton-primo.hosted.exlibrisgroup.com/primo-explore/search?tab=default_tab&amp;search_scope=EVERYTHING&amp;vid=01CRU&amp;lang=en_US&amp;offset=0&amp;query=any,contains,991003510079702656","Catalog Record")</f>
        <v/>
      </c>
      <c r="AT678">
        <f>HYPERLINK("http://www.worldcat.org/oclc/43403512","WorldCat Record")</f>
        <v/>
      </c>
      <c r="AU678" t="inlineStr">
        <is>
          <t>28890382:eng</t>
        </is>
      </c>
      <c r="AV678" t="inlineStr">
        <is>
          <t>43403512</t>
        </is>
      </c>
      <c r="AW678" t="inlineStr">
        <is>
          <t>991003510079702656</t>
        </is>
      </c>
      <c r="AX678" t="inlineStr">
        <is>
          <t>991003510079702656</t>
        </is>
      </c>
      <c r="AY678" t="inlineStr">
        <is>
          <t>2257090230002656</t>
        </is>
      </c>
      <c r="AZ678" t="inlineStr">
        <is>
          <t>BOOK</t>
        </is>
      </c>
      <c r="BB678" t="inlineStr">
        <is>
          <t>9780674002388</t>
        </is>
      </c>
      <c r="BC678" t="inlineStr">
        <is>
          <t>32285004316179</t>
        </is>
      </c>
      <c r="BD678" t="inlineStr">
        <is>
          <t>893874828</t>
        </is>
      </c>
    </row>
    <row r="679">
      <c r="A679" t="inlineStr">
        <is>
          <t>No</t>
        </is>
      </c>
      <c r="B679" t="inlineStr">
        <is>
          <t>PL2754.T75 Z9</t>
        </is>
      </c>
      <c r="C679" t="inlineStr">
        <is>
          <t>0                      PL 2754000T  75                 Z  9</t>
        </is>
      </c>
      <c r="D679" t="inlineStr">
        <is>
          <t>Chou Tso-jen.</t>
        </is>
      </c>
      <c r="F679" t="inlineStr">
        <is>
          <t>No</t>
        </is>
      </c>
      <c r="G679" t="inlineStr">
        <is>
          <t>1</t>
        </is>
      </c>
      <c r="H679" t="inlineStr">
        <is>
          <t>No</t>
        </is>
      </c>
      <c r="I679" t="inlineStr">
        <is>
          <t>No</t>
        </is>
      </c>
      <c r="J679" t="inlineStr">
        <is>
          <t>0</t>
        </is>
      </c>
      <c r="K679" t="inlineStr">
        <is>
          <t>Wolff, Ernst, 1910-</t>
        </is>
      </c>
      <c r="L679" t="inlineStr">
        <is>
          <t>New York, Twayne Publishers [1971]</t>
        </is>
      </c>
      <c r="M679" t="inlineStr">
        <is>
          <t>1971</t>
        </is>
      </c>
      <c r="O679" t="inlineStr">
        <is>
          <t>eng</t>
        </is>
      </c>
      <c r="P679" t="inlineStr">
        <is>
          <t>nyu</t>
        </is>
      </c>
      <c r="Q679" t="inlineStr">
        <is>
          <t>Twayne's world authors series, TWAS 184: China</t>
        </is>
      </c>
      <c r="R679" t="inlineStr">
        <is>
          <t xml:space="preserve">PL </t>
        </is>
      </c>
      <c r="S679" t="n">
        <v>3</v>
      </c>
      <c r="T679" t="n">
        <v>3</v>
      </c>
      <c r="U679" t="inlineStr">
        <is>
          <t>1999-12-06</t>
        </is>
      </c>
      <c r="V679" t="inlineStr">
        <is>
          <t>1999-12-06</t>
        </is>
      </c>
      <c r="W679" t="inlineStr">
        <is>
          <t>1997-09-17</t>
        </is>
      </c>
      <c r="X679" t="inlineStr">
        <is>
          <t>1997-09-17</t>
        </is>
      </c>
      <c r="Y679" t="n">
        <v>481</v>
      </c>
      <c r="Z679" t="n">
        <v>426</v>
      </c>
      <c r="AA679" t="n">
        <v>433</v>
      </c>
      <c r="AB679" t="n">
        <v>3</v>
      </c>
      <c r="AC679" t="n">
        <v>3</v>
      </c>
      <c r="AD679" t="n">
        <v>18</v>
      </c>
      <c r="AE679" t="n">
        <v>18</v>
      </c>
      <c r="AF679" t="n">
        <v>5</v>
      </c>
      <c r="AG679" t="n">
        <v>5</v>
      </c>
      <c r="AH679" t="n">
        <v>3</v>
      </c>
      <c r="AI679" t="n">
        <v>3</v>
      </c>
      <c r="AJ679" t="n">
        <v>12</v>
      </c>
      <c r="AK679" t="n">
        <v>12</v>
      </c>
      <c r="AL679" t="n">
        <v>2</v>
      </c>
      <c r="AM679" t="n">
        <v>2</v>
      </c>
      <c r="AN679" t="n">
        <v>0</v>
      </c>
      <c r="AO679" t="n">
        <v>0</v>
      </c>
      <c r="AP679" t="inlineStr">
        <is>
          <t>No</t>
        </is>
      </c>
      <c r="AQ679" t="inlineStr">
        <is>
          <t>Yes</t>
        </is>
      </c>
      <c r="AR679">
        <f>HYPERLINK("http://catalog.hathitrust.org/Record/001185260","HathiTrust Record")</f>
        <v/>
      </c>
      <c r="AS679">
        <f>HYPERLINK("https://creighton-primo.hosted.exlibrisgroup.com/primo-explore/search?tab=default_tab&amp;search_scope=EVERYTHING&amp;vid=01CRU&amp;lang=en_US&amp;offset=0&amp;query=any,contains,991001362689702656","Catalog Record")</f>
        <v/>
      </c>
      <c r="AT679">
        <f>HYPERLINK("http://www.worldcat.org/oclc/221923","WorldCat Record")</f>
        <v/>
      </c>
      <c r="AU679" t="inlineStr">
        <is>
          <t>147006655:eng</t>
        </is>
      </c>
      <c r="AV679" t="inlineStr">
        <is>
          <t>221923</t>
        </is>
      </c>
      <c r="AW679" t="inlineStr">
        <is>
          <t>991001362689702656</t>
        </is>
      </c>
      <c r="AX679" t="inlineStr">
        <is>
          <t>991001362689702656</t>
        </is>
      </c>
      <c r="AY679" t="inlineStr">
        <is>
          <t>2258421220002656</t>
        </is>
      </c>
      <c r="AZ679" t="inlineStr">
        <is>
          <t>BOOK</t>
        </is>
      </c>
      <c r="BC679" t="inlineStr">
        <is>
          <t>32285003235198</t>
        </is>
      </c>
      <c r="BD679" t="inlineStr">
        <is>
          <t>893797512</t>
        </is>
      </c>
    </row>
    <row r="680">
      <c r="A680" t="inlineStr">
        <is>
          <t>No</t>
        </is>
      </c>
      <c r="B680" t="inlineStr">
        <is>
          <t>PL2804.C5 L61</t>
        </is>
      </c>
      <c r="C680" t="inlineStr">
        <is>
          <t>0                      PL 2804000C  5                  L  61</t>
        </is>
      </c>
      <c r="D680" t="inlineStr">
        <is>
          <t>Rickshaw boy / by Lau Shaw [pseud.] Translated from the Chineseby Evan King.</t>
        </is>
      </c>
      <c r="F680" t="inlineStr">
        <is>
          <t>No</t>
        </is>
      </c>
      <c r="G680" t="inlineStr">
        <is>
          <t>1</t>
        </is>
      </c>
      <c r="H680" t="inlineStr">
        <is>
          <t>No</t>
        </is>
      </c>
      <c r="I680" t="inlineStr">
        <is>
          <t>Yes</t>
        </is>
      </c>
      <c r="J680" t="inlineStr">
        <is>
          <t>0</t>
        </is>
      </c>
      <c r="K680" t="inlineStr">
        <is>
          <t>Lao, She, 1899-1966.</t>
        </is>
      </c>
      <c r="L680" t="inlineStr">
        <is>
          <t>Garden City, N. Y., The Sun dial press [1946]</t>
        </is>
      </c>
      <c r="M680" t="inlineStr">
        <is>
          <t>1946</t>
        </is>
      </c>
      <c r="O680" t="inlineStr">
        <is>
          <t>eng</t>
        </is>
      </c>
      <c r="P680" t="inlineStr">
        <is>
          <t>___</t>
        </is>
      </c>
      <c r="R680" t="inlineStr">
        <is>
          <t xml:space="preserve">PL </t>
        </is>
      </c>
      <c r="S680" t="n">
        <v>1</v>
      </c>
      <c r="T680" t="n">
        <v>1</v>
      </c>
      <c r="U680" t="inlineStr">
        <is>
          <t>2006-01-03</t>
        </is>
      </c>
      <c r="V680" t="inlineStr">
        <is>
          <t>2006-01-03</t>
        </is>
      </c>
      <c r="W680" t="inlineStr">
        <is>
          <t>1993-05-05</t>
        </is>
      </c>
      <c r="X680" t="inlineStr">
        <is>
          <t>1993-05-05</t>
        </is>
      </c>
      <c r="Y680" t="n">
        <v>36</v>
      </c>
      <c r="Z680" t="n">
        <v>34</v>
      </c>
      <c r="AA680" t="n">
        <v>1733</v>
      </c>
      <c r="AB680" t="n">
        <v>2</v>
      </c>
      <c r="AC680" t="n">
        <v>10</v>
      </c>
      <c r="AD680" t="n">
        <v>1</v>
      </c>
      <c r="AE680" t="n">
        <v>50</v>
      </c>
      <c r="AF680" t="n">
        <v>0</v>
      </c>
      <c r="AG680" t="n">
        <v>22</v>
      </c>
      <c r="AH680" t="n">
        <v>0</v>
      </c>
      <c r="AI680" t="n">
        <v>7</v>
      </c>
      <c r="AJ680" t="n">
        <v>0</v>
      </c>
      <c r="AK680" t="n">
        <v>22</v>
      </c>
      <c r="AL680" t="n">
        <v>1</v>
      </c>
      <c r="AM680" t="n">
        <v>9</v>
      </c>
      <c r="AN680" t="n">
        <v>0</v>
      </c>
      <c r="AO680" t="n">
        <v>0</v>
      </c>
      <c r="AP680" t="inlineStr">
        <is>
          <t>No</t>
        </is>
      </c>
      <c r="AQ680" t="inlineStr">
        <is>
          <t>No</t>
        </is>
      </c>
      <c r="AS680">
        <f>HYPERLINK("https://creighton-primo.hosted.exlibrisgroup.com/primo-explore/search?tab=default_tab&amp;search_scope=EVERYTHING&amp;vid=01CRU&amp;lang=en_US&amp;offset=0&amp;query=any,contains,991003072039702656","Catalog Record")</f>
        <v/>
      </c>
      <c r="AT680">
        <f>HYPERLINK("http://www.worldcat.org/oclc/626306","WorldCat Record")</f>
        <v/>
      </c>
      <c r="AU680" t="inlineStr">
        <is>
          <t>4917146563:eng</t>
        </is>
      </c>
      <c r="AV680" t="inlineStr">
        <is>
          <t>626306</t>
        </is>
      </c>
      <c r="AW680" t="inlineStr">
        <is>
          <t>991003072039702656</t>
        </is>
      </c>
      <c r="AX680" t="inlineStr">
        <is>
          <t>991003072039702656</t>
        </is>
      </c>
      <c r="AY680" t="inlineStr">
        <is>
          <t>2257337910002656</t>
        </is>
      </c>
      <c r="AZ680" t="inlineStr">
        <is>
          <t>BOOK</t>
        </is>
      </c>
      <c r="BC680" t="inlineStr">
        <is>
          <t>32285001672582</t>
        </is>
      </c>
      <c r="BD680" t="inlineStr">
        <is>
          <t>893518110</t>
        </is>
      </c>
    </row>
    <row r="681">
      <c r="A681" t="inlineStr">
        <is>
          <t>No</t>
        </is>
      </c>
      <c r="B681" t="inlineStr">
        <is>
          <t>PL2841.C53 A27 1999</t>
        </is>
      </c>
      <c r="C681" t="inlineStr">
        <is>
          <t>0                      PL 2841000C  53                 A  27          1999</t>
        </is>
      </c>
      <c r="D681" t="inlineStr">
        <is>
          <t>Three-legged horse / Cheng, Ch'ing-wen ; edited by Pang-yuan Chi.</t>
        </is>
      </c>
      <c r="F681" t="inlineStr">
        <is>
          <t>No</t>
        </is>
      </c>
      <c r="G681" t="inlineStr">
        <is>
          <t>1</t>
        </is>
      </c>
      <c r="H681" t="inlineStr">
        <is>
          <t>No</t>
        </is>
      </c>
      <c r="I681" t="inlineStr">
        <is>
          <t>No</t>
        </is>
      </c>
      <c r="J681" t="inlineStr">
        <is>
          <t>0</t>
        </is>
      </c>
      <c r="K681" t="inlineStr">
        <is>
          <t>Zheng, Qingwen, 1932-</t>
        </is>
      </c>
      <c r="L681" t="inlineStr">
        <is>
          <t>New York : Columbia University Press, c1999.</t>
        </is>
      </c>
      <c r="M681" t="inlineStr">
        <is>
          <t>1999</t>
        </is>
      </c>
      <c r="O681" t="inlineStr">
        <is>
          <t>eng</t>
        </is>
      </c>
      <c r="P681" t="inlineStr">
        <is>
          <t>nyu</t>
        </is>
      </c>
      <c r="Q681" t="inlineStr">
        <is>
          <t>Modern Chinese literature from Taiwan</t>
        </is>
      </c>
      <c r="R681" t="inlineStr">
        <is>
          <t xml:space="preserve">PL </t>
        </is>
      </c>
      <c r="S681" t="n">
        <v>1</v>
      </c>
      <c r="T681" t="n">
        <v>1</v>
      </c>
      <c r="U681" t="inlineStr">
        <is>
          <t>2001-08-02</t>
        </is>
      </c>
      <c r="V681" t="inlineStr">
        <is>
          <t>2001-08-02</t>
        </is>
      </c>
      <c r="W681" t="inlineStr">
        <is>
          <t>2001-08-02</t>
        </is>
      </c>
      <c r="X681" t="inlineStr">
        <is>
          <t>2001-08-02</t>
        </is>
      </c>
      <c r="Y681" t="n">
        <v>477</v>
      </c>
      <c r="Z681" t="n">
        <v>408</v>
      </c>
      <c r="AA681" t="n">
        <v>941</v>
      </c>
      <c r="AB681" t="n">
        <v>3</v>
      </c>
      <c r="AC681" t="n">
        <v>27</v>
      </c>
      <c r="AD681" t="n">
        <v>15</v>
      </c>
      <c r="AE681" t="n">
        <v>29</v>
      </c>
      <c r="AF681" t="n">
        <v>6</v>
      </c>
      <c r="AG681" t="n">
        <v>9</v>
      </c>
      <c r="AH681" t="n">
        <v>5</v>
      </c>
      <c r="AI681" t="n">
        <v>5</v>
      </c>
      <c r="AJ681" t="n">
        <v>8</v>
      </c>
      <c r="AK681" t="n">
        <v>11</v>
      </c>
      <c r="AL681" t="n">
        <v>1</v>
      </c>
      <c r="AM681" t="n">
        <v>11</v>
      </c>
      <c r="AN681" t="n">
        <v>0</v>
      </c>
      <c r="AO681" t="n">
        <v>0</v>
      </c>
      <c r="AP681" t="inlineStr">
        <is>
          <t>No</t>
        </is>
      </c>
      <c r="AQ681" t="inlineStr">
        <is>
          <t>No</t>
        </is>
      </c>
      <c r="AS681">
        <f>HYPERLINK("https://creighton-primo.hosted.exlibrisgroup.com/primo-explore/search?tab=default_tab&amp;search_scope=EVERYTHING&amp;vid=01CRU&amp;lang=en_US&amp;offset=0&amp;query=any,contains,991003543159702656","Catalog Record")</f>
        <v/>
      </c>
      <c r="AT681">
        <f>HYPERLINK("http://www.worldcat.org/oclc/39069430","WorldCat Record")</f>
        <v/>
      </c>
      <c r="AU681" t="inlineStr">
        <is>
          <t>5090757629:eng</t>
        </is>
      </c>
      <c r="AV681" t="inlineStr">
        <is>
          <t>39069430</t>
        </is>
      </c>
      <c r="AW681" t="inlineStr">
        <is>
          <t>991003543159702656</t>
        </is>
      </c>
      <c r="AX681" t="inlineStr">
        <is>
          <t>991003543159702656</t>
        </is>
      </c>
      <c r="AY681" t="inlineStr">
        <is>
          <t>2259778660002656</t>
        </is>
      </c>
      <c r="AZ681" t="inlineStr">
        <is>
          <t>BOOK</t>
        </is>
      </c>
      <c r="BB681" t="inlineStr">
        <is>
          <t>9780231113861</t>
        </is>
      </c>
      <c r="BC681" t="inlineStr">
        <is>
          <t>32285004375563</t>
        </is>
      </c>
      <c r="BD681" t="inlineStr">
        <is>
          <t>893692821</t>
        </is>
      </c>
    </row>
    <row r="682">
      <c r="A682" t="inlineStr">
        <is>
          <t>No</t>
        </is>
      </c>
      <c r="B682" t="inlineStr">
        <is>
          <t>PL2869.O128 Y49413 2002</t>
        </is>
      </c>
      <c r="C682" t="inlineStr">
        <is>
          <t>0                      PL 2869000O  128                Y  49413       2002</t>
        </is>
      </c>
      <c r="D682" t="inlineStr">
        <is>
          <t>One man's Bible : a novel / Gao Xingjian ; translated from the Chinese by Mabel Lee.</t>
        </is>
      </c>
      <c r="F682" t="inlineStr">
        <is>
          <t>No</t>
        </is>
      </c>
      <c r="G682" t="inlineStr">
        <is>
          <t>1</t>
        </is>
      </c>
      <c r="H682" t="inlineStr">
        <is>
          <t>No</t>
        </is>
      </c>
      <c r="I682" t="inlineStr">
        <is>
          <t>No</t>
        </is>
      </c>
      <c r="J682" t="inlineStr">
        <is>
          <t>0</t>
        </is>
      </c>
      <c r="K682" t="inlineStr">
        <is>
          <t>Gao, Xingjian.</t>
        </is>
      </c>
      <c r="L682" t="inlineStr">
        <is>
          <t>New York : HarperCollins, 2002.</t>
        </is>
      </c>
      <c r="M682" t="inlineStr">
        <is>
          <t>2002</t>
        </is>
      </c>
      <c r="N682" t="inlineStr">
        <is>
          <t>1st American ed.</t>
        </is>
      </c>
      <c r="O682" t="inlineStr">
        <is>
          <t>eng</t>
        </is>
      </c>
      <c r="P682" t="inlineStr">
        <is>
          <t>nyu</t>
        </is>
      </c>
      <c r="R682" t="inlineStr">
        <is>
          <t xml:space="preserve">PL </t>
        </is>
      </c>
      <c r="S682" t="n">
        <v>1</v>
      </c>
      <c r="T682" t="n">
        <v>1</v>
      </c>
      <c r="U682" t="inlineStr">
        <is>
          <t>2002-10-09</t>
        </is>
      </c>
      <c r="V682" t="inlineStr">
        <is>
          <t>2002-10-09</t>
        </is>
      </c>
      <c r="W682" t="inlineStr">
        <is>
          <t>2002-09-27</t>
        </is>
      </c>
      <c r="X682" t="inlineStr">
        <is>
          <t>2002-09-27</t>
        </is>
      </c>
      <c r="Y682" t="n">
        <v>933</v>
      </c>
      <c r="Z682" t="n">
        <v>837</v>
      </c>
      <c r="AA682" t="n">
        <v>888</v>
      </c>
      <c r="AB682" t="n">
        <v>7</v>
      </c>
      <c r="AC682" t="n">
        <v>7</v>
      </c>
      <c r="AD682" t="n">
        <v>26</v>
      </c>
      <c r="AE682" t="n">
        <v>26</v>
      </c>
      <c r="AF682" t="n">
        <v>11</v>
      </c>
      <c r="AG682" t="n">
        <v>11</v>
      </c>
      <c r="AH682" t="n">
        <v>6</v>
      </c>
      <c r="AI682" t="n">
        <v>6</v>
      </c>
      <c r="AJ682" t="n">
        <v>13</v>
      </c>
      <c r="AK682" t="n">
        <v>13</v>
      </c>
      <c r="AL682" t="n">
        <v>4</v>
      </c>
      <c r="AM682" t="n">
        <v>4</v>
      </c>
      <c r="AN682" t="n">
        <v>0</v>
      </c>
      <c r="AO682" t="n">
        <v>0</v>
      </c>
      <c r="AP682" t="inlineStr">
        <is>
          <t>No</t>
        </is>
      </c>
      <c r="AQ682" t="inlineStr">
        <is>
          <t>No</t>
        </is>
      </c>
      <c r="AS682">
        <f>HYPERLINK("https://creighton-primo.hosted.exlibrisgroup.com/primo-explore/search?tab=default_tab&amp;search_scope=EVERYTHING&amp;vid=01CRU&amp;lang=en_US&amp;offset=0&amp;query=any,contains,991003899109702656","Catalog Record")</f>
        <v/>
      </c>
      <c r="AT682">
        <f>HYPERLINK("http://www.worldcat.org/oclc/48777417","WorldCat Record")</f>
        <v/>
      </c>
      <c r="AU682" t="inlineStr">
        <is>
          <t>4897337697:eng</t>
        </is>
      </c>
      <c r="AV682" t="inlineStr">
        <is>
          <t>48777417</t>
        </is>
      </c>
      <c r="AW682" t="inlineStr">
        <is>
          <t>991003899109702656</t>
        </is>
      </c>
      <c r="AX682" t="inlineStr">
        <is>
          <t>991003899109702656</t>
        </is>
      </c>
      <c r="AY682" t="inlineStr">
        <is>
          <t>2259933920002656</t>
        </is>
      </c>
      <c r="AZ682" t="inlineStr">
        <is>
          <t>BOOK</t>
        </is>
      </c>
      <c r="BB682" t="inlineStr">
        <is>
          <t>9780066211329</t>
        </is>
      </c>
      <c r="BC682" t="inlineStr">
        <is>
          <t>32285004653910</t>
        </is>
      </c>
      <c r="BD682" t="inlineStr">
        <is>
          <t>893519018</t>
        </is>
      </c>
    </row>
    <row r="683">
      <c r="A683" t="inlineStr">
        <is>
          <t>No</t>
        </is>
      </c>
      <c r="B683" t="inlineStr">
        <is>
          <t>PL2907 .G5</t>
        </is>
      </c>
      <c r="C683" t="inlineStr">
        <is>
          <t>0                      PL 2907000G  5</t>
        </is>
      </c>
      <c r="D683" t="inlineStr">
        <is>
          <t>A history of Chinese literature / by Herbert A. Giles.</t>
        </is>
      </c>
      <c r="F683" t="inlineStr">
        <is>
          <t>No</t>
        </is>
      </c>
      <c r="G683" t="inlineStr">
        <is>
          <t>1</t>
        </is>
      </c>
      <c r="H683" t="inlineStr">
        <is>
          <t>No</t>
        </is>
      </c>
      <c r="I683" t="inlineStr">
        <is>
          <t>No</t>
        </is>
      </c>
      <c r="J683" t="inlineStr">
        <is>
          <t>0</t>
        </is>
      </c>
      <c r="K683" t="inlineStr">
        <is>
          <t>Giles, Herbert Allen, 1845-1935.</t>
        </is>
      </c>
      <c r="L683" t="inlineStr">
        <is>
          <t>New York : D. Appleton and Company, 1901.</t>
        </is>
      </c>
      <c r="M683" t="inlineStr">
        <is>
          <t>1901</t>
        </is>
      </c>
      <c r="O683" t="inlineStr">
        <is>
          <t>eng</t>
        </is>
      </c>
      <c r="P683" t="inlineStr">
        <is>
          <t>nyu</t>
        </is>
      </c>
      <c r="Q683" t="inlineStr">
        <is>
          <t>Short histories of the literatures of the world</t>
        </is>
      </c>
      <c r="R683" t="inlineStr">
        <is>
          <t xml:space="preserve">PL </t>
        </is>
      </c>
      <c r="S683" t="n">
        <v>17</v>
      </c>
      <c r="T683" t="n">
        <v>17</v>
      </c>
      <c r="U683" t="inlineStr">
        <is>
          <t>2009-07-14</t>
        </is>
      </c>
      <c r="V683" t="inlineStr">
        <is>
          <t>2009-07-14</t>
        </is>
      </c>
      <c r="W683" t="inlineStr">
        <is>
          <t>1993-01-08</t>
        </is>
      </c>
      <c r="X683" t="inlineStr">
        <is>
          <t>1993-01-08</t>
        </is>
      </c>
      <c r="Y683" t="n">
        <v>256</v>
      </c>
      <c r="Z683" t="n">
        <v>236</v>
      </c>
      <c r="AA683" t="n">
        <v>726</v>
      </c>
      <c r="AB683" t="n">
        <v>3</v>
      </c>
      <c r="AC683" t="n">
        <v>5</v>
      </c>
      <c r="AD683" t="n">
        <v>8</v>
      </c>
      <c r="AE683" t="n">
        <v>20</v>
      </c>
      <c r="AF683" t="n">
        <v>3</v>
      </c>
      <c r="AG683" t="n">
        <v>6</v>
      </c>
      <c r="AH683" t="n">
        <v>2</v>
      </c>
      <c r="AI683" t="n">
        <v>4</v>
      </c>
      <c r="AJ683" t="n">
        <v>3</v>
      </c>
      <c r="AK683" t="n">
        <v>11</v>
      </c>
      <c r="AL683" t="n">
        <v>2</v>
      </c>
      <c r="AM683" t="n">
        <v>3</v>
      </c>
      <c r="AN683" t="n">
        <v>0</v>
      </c>
      <c r="AO683" t="n">
        <v>0</v>
      </c>
      <c r="AP683" t="inlineStr">
        <is>
          <t>Yes</t>
        </is>
      </c>
      <c r="AQ683" t="inlineStr">
        <is>
          <t>No</t>
        </is>
      </c>
      <c r="AR683">
        <f>HYPERLINK("http://catalog.hathitrust.org/Record/001232082","HathiTrust Record")</f>
        <v/>
      </c>
      <c r="AS683">
        <f>HYPERLINK("https://creighton-primo.hosted.exlibrisgroup.com/primo-explore/search?tab=default_tab&amp;search_scope=EVERYTHING&amp;vid=01CRU&amp;lang=en_US&amp;offset=0&amp;query=any,contains,991003491629702656","Catalog Record")</f>
        <v/>
      </c>
      <c r="AT683">
        <f>HYPERLINK("http://www.worldcat.org/oclc/1040933","WorldCat Record")</f>
        <v/>
      </c>
      <c r="AU683" t="inlineStr">
        <is>
          <t>460059:eng</t>
        </is>
      </c>
      <c r="AV683" t="inlineStr">
        <is>
          <t>1040933</t>
        </is>
      </c>
      <c r="AW683" t="inlineStr">
        <is>
          <t>991003491629702656</t>
        </is>
      </c>
      <c r="AX683" t="inlineStr">
        <is>
          <t>991003491629702656</t>
        </is>
      </c>
      <c r="AY683" t="inlineStr">
        <is>
          <t>2272338280002656</t>
        </is>
      </c>
      <c r="AZ683" t="inlineStr">
        <is>
          <t>BOOK</t>
        </is>
      </c>
      <c r="BC683" t="inlineStr">
        <is>
          <t>32285001474070</t>
        </is>
      </c>
      <c r="BD683" t="inlineStr">
        <is>
          <t>893598634</t>
        </is>
      </c>
    </row>
    <row r="684">
      <c r="A684" t="inlineStr">
        <is>
          <t>No</t>
        </is>
      </c>
      <c r="B684" t="inlineStr">
        <is>
          <t>PL2924.S47 S55 1998</t>
        </is>
      </c>
      <c r="C684" t="inlineStr">
        <is>
          <t>0                      PL 2924000S  47                 S  55          1998</t>
        </is>
      </c>
      <c r="D684" t="inlineStr">
        <is>
          <t>No trace of the gardener : poems of Yang Mu / translated by Lawrence R. Smith and Michelle Yeh.</t>
        </is>
      </c>
      <c r="F684" t="inlineStr">
        <is>
          <t>No</t>
        </is>
      </c>
      <c r="G684" t="inlineStr">
        <is>
          <t>1</t>
        </is>
      </c>
      <c r="H684" t="inlineStr">
        <is>
          <t>No</t>
        </is>
      </c>
      <c r="I684" t="inlineStr">
        <is>
          <t>No</t>
        </is>
      </c>
      <c r="J684" t="inlineStr">
        <is>
          <t>0</t>
        </is>
      </c>
      <c r="K684" t="inlineStr">
        <is>
          <t>Yang, Mu, 1940-</t>
        </is>
      </c>
      <c r="L684" t="inlineStr">
        <is>
          <t>New Haven : Yale University Press, 1998.</t>
        </is>
      </c>
      <c r="M684" t="inlineStr">
        <is>
          <t>1998</t>
        </is>
      </c>
      <c r="O684" t="inlineStr">
        <is>
          <t>eng</t>
        </is>
      </c>
      <c r="P684" t="inlineStr">
        <is>
          <t>ctu</t>
        </is>
      </c>
      <c r="R684" t="inlineStr">
        <is>
          <t xml:space="preserve">PL </t>
        </is>
      </c>
      <c r="S684" t="n">
        <v>5</v>
      </c>
      <c r="T684" t="n">
        <v>5</v>
      </c>
      <c r="U684" t="inlineStr">
        <is>
          <t>2000-02-04</t>
        </is>
      </c>
      <c r="V684" t="inlineStr">
        <is>
          <t>2000-02-04</t>
        </is>
      </c>
      <c r="W684" t="inlineStr">
        <is>
          <t>1998-03-25</t>
        </is>
      </c>
      <c r="X684" t="inlineStr">
        <is>
          <t>1998-03-25</t>
        </is>
      </c>
      <c r="Y684" t="n">
        <v>267</v>
      </c>
      <c r="Z684" t="n">
        <v>227</v>
      </c>
      <c r="AA684" t="n">
        <v>227</v>
      </c>
      <c r="AB684" t="n">
        <v>2</v>
      </c>
      <c r="AC684" t="n">
        <v>2</v>
      </c>
      <c r="AD684" t="n">
        <v>11</v>
      </c>
      <c r="AE684" t="n">
        <v>11</v>
      </c>
      <c r="AF684" t="n">
        <v>2</v>
      </c>
      <c r="AG684" t="n">
        <v>2</v>
      </c>
      <c r="AH684" t="n">
        <v>3</v>
      </c>
      <c r="AI684" t="n">
        <v>3</v>
      </c>
      <c r="AJ684" t="n">
        <v>7</v>
      </c>
      <c r="AK684" t="n">
        <v>7</v>
      </c>
      <c r="AL684" t="n">
        <v>1</v>
      </c>
      <c r="AM684" t="n">
        <v>1</v>
      </c>
      <c r="AN684" t="n">
        <v>0</v>
      </c>
      <c r="AO684" t="n">
        <v>0</v>
      </c>
      <c r="AP684" t="inlineStr">
        <is>
          <t>No</t>
        </is>
      </c>
      <c r="AQ684" t="inlineStr">
        <is>
          <t>No</t>
        </is>
      </c>
      <c r="AS684">
        <f>HYPERLINK("https://creighton-primo.hosted.exlibrisgroup.com/primo-explore/search?tab=default_tab&amp;search_scope=EVERYTHING&amp;vid=01CRU&amp;lang=en_US&amp;offset=0&amp;query=any,contains,991002806919702656","Catalog Record")</f>
        <v/>
      </c>
      <c r="AT684">
        <f>HYPERLINK("http://www.worldcat.org/oclc/36877368","WorldCat Record")</f>
        <v/>
      </c>
      <c r="AU684" t="inlineStr">
        <is>
          <t>144113205:eng</t>
        </is>
      </c>
      <c r="AV684" t="inlineStr">
        <is>
          <t>36877368</t>
        </is>
      </c>
      <c r="AW684" t="inlineStr">
        <is>
          <t>991002806919702656</t>
        </is>
      </c>
      <c r="AX684" t="inlineStr">
        <is>
          <t>991002806919702656</t>
        </is>
      </c>
      <c r="AY684" t="inlineStr">
        <is>
          <t>2256820940002656</t>
        </is>
      </c>
      <c r="AZ684" t="inlineStr">
        <is>
          <t>BOOK</t>
        </is>
      </c>
      <c r="BB684" t="inlineStr">
        <is>
          <t>9780300070705</t>
        </is>
      </c>
      <c r="BC684" t="inlineStr">
        <is>
          <t>32285003380770</t>
        </is>
      </c>
      <c r="BD684" t="inlineStr">
        <is>
          <t>893434309</t>
        </is>
      </c>
    </row>
    <row r="685">
      <c r="A685" t="inlineStr">
        <is>
          <t>No</t>
        </is>
      </c>
      <c r="B685" t="inlineStr">
        <is>
          <t>PL2973.5.A55 Y84 2004</t>
        </is>
      </c>
      <c r="C685" t="inlineStr">
        <is>
          <t>0                      PL 2973500A  55                 Y  84          2004</t>
        </is>
      </c>
      <c r="D685" t="inlineStr">
        <is>
          <t>Yue guo nü qiang = The moon is over the parapet / Yuan Jinmei zhu.</t>
        </is>
      </c>
      <c r="F685" t="inlineStr">
        <is>
          <t>No</t>
        </is>
      </c>
      <c r="G685" t="inlineStr">
        <is>
          <t>1</t>
        </is>
      </c>
      <c r="H685" t="inlineStr">
        <is>
          <t>No</t>
        </is>
      </c>
      <c r="I685" t="inlineStr">
        <is>
          <t>No</t>
        </is>
      </c>
      <c r="J685" t="inlineStr">
        <is>
          <t>0</t>
        </is>
      </c>
      <c r="K685" t="inlineStr">
        <is>
          <t>Yuan, Jinmei.</t>
        </is>
      </c>
      <c r="L685" t="inlineStr">
        <is>
          <t>Beijing : Zhongguo gong ren chu ban she, 2004.</t>
        </is>
      </c>
      <c r="M685" t="inlineStr">
        <is>
          <t>2004</t>
        </is>
      </c>
      <c r="N685" t="inlineStr">
        <is>
          <t>Di 1 ban.</t>
        </is>
      </c>
      <c r="O685" t="inlineStr">
        <is>
          <t>chi</t>
        </is>
      </c>
      <c r="P685" t="inlineStr">
        <is>
          <t xml:space="preserve">cc </t>
        </is>
      </c>
      <c r="Q685" t="inlineStr">
        <is>
          <t>Hai wai piao bo zhe, jing cai yue du = Oversears wanderers, exciting stories</t>
        </is>
      </c>
      <c r="R685" t="inlineStr">
        <is>
          <t xml:space="preserve">PL </t>
        </is>
      </c>
      <c r="S685" t="n">
        <v>2</v>
      </c>
      <c r="T685" t="n">
        <v>2</v>
      </c>
      <c r="U685" t="inlineStr">
        <is>
          <t>2010-02-23</t>
        </is>
      </c>
      <c r="V685" t="inlineStr">
        <is>
          <t>2010-02-23</t>
        </is>
      </c>
      <c r="W685" t="inlineStr">
        <is>
          <t>2009-01-05</t>
        </is>
      </c>
      <c r="X685" t="inlineStr">
        <is>
          <t>2009-01-05</t>
        </is>
      </c>
      <c r="Y685" t="n">
        <v>7</v>
      </c>
      <c r="Z685" t="n">
        <v>2</v>
      </c>
      <c r="AA685" t="n">
        <v>2</v>
      </c>
      <c r="AB685" t="n">
        <v>1</v>
      </c>
      <c r="AC685" t="n">
        <v>1</v>
      </c>
      <c r="AD685" t="n">
        <v>0</v>
      </c>
      <c r="AE685" t="n">
        <v>0</v>
      </c>
      <c r="AF685" t="n">
        <v>0</v>
      </c>
      <c r="AG685" t="n">
        <v>0</v>
      </c>
      <c r="AH685" t="n">
        <v>0</v>
      </c>
      <c r="AI685" t="n">
        <v>0</v>
      </c>
      <c r="AJ685" t="n">
        <v>0</v>
      </c>
      <c r="AK685" t="n">
        <v>0</v>
      </c>
      <c r="AL685" t="n">
        <v>0</v>
      </c>
      <c r="AM685" t="n">
        <v>0</v>
      </c>
      <c r="AN685" t="n">
        <v>0</v>
      </c>
      <c r="AO685" t="n">
        <v>0</v>
      </c>
      <c r="AP685" t="inlineStr">
        <is>
          <t>No</t>
        </is>
      </c>
      <c r="AQ685" t="inlineStr">
        <is>
          <t>No</t>
        </is>
      </c>
      <c r="AS685">
        <f>HYPERLINK("https://creighton-primo.hosted.exlibrisgroup.com/primo-explore/search?tab=default_tab&amp;search_scope=EVERYTHING&amp;vid=01CRU&amp;lang=en_US&amp;offset=0&amp;query=any,contains,991005287719702656","Catalog Record")</f>
        <v/>
      </c>
      <c r="AT685">
        <f>HYPERLINK("http://www.worldcat.org/oclc/123007655","WorldCat Record")</f>
        <v/>
      </c>
      <c r="AU685" t="inlineStr">
        <is>
          <t>101947329:chi</t>
        </is>
      </c>
      <c r="AV685" t="inlineStr">
        <is>
          <t>123007655</t>
        </is>
      </c>
      <c r="AW685" t="inlineStr">
        <is>
          <t>991005287719702656</t>
        </is>
      </c>
      <c r="AX685" t="inlineStr">
        <is>
          <t>991005287719702656</t>
        </is>
      </c>
      <c r="AY685" t="inlineStr">
        <is>
          <t>2267778840002656</t>
        </is>
      </c>
      <c r="AZ685" t="inlineStr">
        <is>
          <t>BOOK</t>
        </is>
      </c>
      <c r="BB685" t="inlineStr">
        <is>
          <t>9787500831013</t>
        </is>
      </c>
      <c r="BC685" t="inlineStr">
        <is>
          <t>32285005424303</t>
        </is>
      </c>
      <c r="BD685" t="inlineStr">
        <is>
          <t>893870831</t>
        </is>
      </c>
    </row>
    <row r="686">
      <c r="A686" t="inlineStr">
        <is>
          <t>No</t>
        </is>
      </c>
      <c r="B686" t="inlineStr">
        <is>
          <t>PL2997 .W353 1935</t>
        </is>
      </c>
      <c r="C686" t="inlineStr">
        <is>
          <t>0                      PL 2997000W  353         1935</t>
        </is>
      </c>
      <c r="D686" t="inlineStr">
        <is>
          <t>Lady Precious Stream; an old Chinese play done into English according to its traditional style by S.I. Hsiung; with a preface by Lascelles Abercrombie.</t>
        </is>
      </c>
      <c r="F686" t="inlineStr">
        <is>
          <t>No</t>
        </is>
      </c>
      <c r="G686" t="inlineStr">
        <is>
          <t>1</t>
        </is>
      </c>
      <c r="H686" t="inlineStr">
        <is>
          <t>No</t>
        </is>
      </c>
      <c r="I686" t="inlineStr">
        <is>
          <t>No</t>
        </is>
      </c>
      <c r="J686" t="inlineStr">
        <is>
          <t>0</t>
        </is>
      </c>
      <c r="K686" t="inlineStr">
        <is>
          <t>Wang Baochuan.</t>
        </is>
      </c>
      <c r="L686" t="inlineStr">
        <is>
          <t>New York, Liveright Publishing Corp.; London, Methuen &amp; Co. ltd., 1935.</t>
        </is>
      </c>
      <c r="M686" t="inlineStr">
        <is>
          <t>1935</t>
        </is>
      </c>
      <c r="O686" t="inlineStr">
        <is>
          <t>eng</t>
        </is>
      </c>
      <c r="P686" t="inlineStr">
        <is>
          <t>nyu</t>
        </is>
      </c>
      <c r="R686" t="inlineStr">
        <is>
          <t xml:space="preserve">PL </t>
        </is>
      </c>
      <c r="S686" t="n">
        <v>0</v>
      </c>
      <c r="T686" t="n">
        <v>0</v>
      </c>
      <c r="U686" t="inlineStr">
        <is>
          <t>2009-11-18</t>
        </is>
      </c>
      <c r="V686" t="inlineStr">
        <is>
          <t>2009-11-18</t>
        </is>
      </c>
      <c r="W686" t="inlineStr">
        <is>
          <t>1997-09-17</t>
        </is>
      </c>
      <c r="X686" t="inlineStr">
        <is>
          <t>1997-09-17</t>
        </is>
      </c>
      <c r="Y686" t="n">
        <v>269</v>
      </c>
      <c r="Z686" t="n">
        <v>259</v>
      </c>
      <c r="AA686" t="n">
        <v>287</v>
      </c>
      <c r="AB686" t="n">
        <v>2</v>
      </c>
      <c r="AC686" t="n">
        <v>2</v>
      </c>
      <c r="AD686" t="n">
        <v>6</v>
      </c>
      <c r="AE686" t="n">
        <v>7</v>
      </c>
      <c r="AF686" t="n">
        <v>1</v>
      </c>
      <c r="AG686" t="n">
        <v>1</v>
      </c>
      <c r="AH686" t="n">
        <v>1</v>
      </c>
      <c r="AI686" t="n">
        <v>2</v>
      </c>
      <c r="AJ686" t="n">
        <v>4</v>
      </c>
      <c r="AK686" t="n">
        <v>4</v>
      </c>
      <c r="AL686" t="n">
        <v>1</v>
      </c>
      <c r="AM686" t="n">
        <v>1</v>
      </c>
      <c r="AN686" t="n">
        <v>0</v>
      </c>
      <c r="AO686" t="n">
        <v>0</v>
      </c>
      <c r="AP686" t="inlineStr">
        <is>
          <t>No</t>
        </is>
      </c>
      <c r="AQ686" t="inlineStr">
        <is>
          <t>No</t>
        </is>
      </c>
      <c r="AR686">
        <f>HYPERLINK("http://catalog.hathitrust.org/Record/000830517","HathiTrust Record")</f>
        <v/>
      </c>
      <c r="AS686">
        <f>HYPERLINK("https://creighton-primo.hosted.exlibrisgroup.com/primo-explore/search?tab=default_tab&amp;search_scope=EVERYTHING&amp;vid=01CRU&amp;lang=en_US&amp;offset=0&amp;query=any,contains,991003463599702656","Catalog Record")</f>
        <v/>
      </c>
      <c r="AT686">
        <f>HYPERLINK("http://www.worldcat.org/oclc/1005589","WorldCat Record")</f>
        <v/>
      </c>
      <c r="AU686" t="inlineStr">
        <is>
          <t>3855251143:eng</t>
        </is>
      </c>
      <c r="AV686" t="inlineStr">
        <is>
          <t>1005589</t>
        </is>
      </c>
      <c r="AW686" t="inlineStr">
        <is>
          <t>991003463599702656</t>
        </is>
      </c>
      <c r="AX686" t="inlineStr">
        <is>
          <t>991003463599702656</t>
        </is>
      </c>
      <c r="AY686" t="inlineStr">
        <is>
          <t>2256494250002656</t>
        </is>
      </c>
      <c r="AZ686" t="inlineStr">
        <is>
          <t>BOOK</t>
        </is>
      </c>
      <c r="BB686" t="inlineStr">
        <is>
          <t>9780416109801</t>
        </is>
      </c>
      <c r="BC686" t="inlineStr">
        <is>
          <t>32285003235339</t>
        </is>
      </c>
      <c r="BD686" t="inlineStr">
        <is>
          <t>893627593</t>
        </is>
      </c>
    </row>
    <row r="687">
      <c r="A687" t="inlineStr">
        <is>
          <t>No</t>
        </is>
      </c>
      <c r="B687" t="inlineStr">
        <is>
          <t>PL3000.S5 L61</t>
        </is>
      </c>
      <c r="C687" t="inlineStr">
        <is>
          <t>0                      PL 3000000S  5                  L  61</t>
        </is>
      </c>
      <c r="D687" t="inlineStr">
        <is>
          <t>Rickshaw = the novel Lo-to Hsiang Tzu / by Lao She [i.e. Shu Chʻing-chʻun] ; translated by Jean M. James.</t>
        </is>
      </c>
      <c r="F687" t="inlineStr">
        <is>
          <t>No</t>
        </is>
      </c>
      <c r="G687" t="inlineStr">
        <is>
          <t>1</t>
        </is>
      </c>
      <c r="H687" t="inlineStr">
        <is>
          <t>No</t>
        </is>
      </c>
      <c r="I687" t="inlineStr">
        <is>
          <t>Yes</t>
        </is>
      </c>
      <c r="J687" t="inlineStr">
        <is>
          <t>0</t>
        </is>
      </c>
      <c r="K687" t="inlineStr">
        <is>
          <t>Lao, She, 1899-1966.</t>
        </is>
      </c>
      <c r="L687" t="inlineStr">
        <is>
          <t>Honolulu : University Press of Hawaii, c1979.</t>
        </is>
      </c>
      <c r="M687" t="inlineStr">
        <is>
          <t>1979</t>
        </is>
      </c>
      <c r="O687" t="inlineStr">
        <is>
          <t>eng</t>
        </is>
      </c>
      <c r="P687" t="inlineStr">
        <is>
          <t>hiu</t>
        </is>
      </c>
      <c r="R687" t="inlineStr">
        <is>
          <t xml:space="preserve">PL </t>
        </is>
      </c>
      <c r="S687" t="n">
        <v>2</v>
      </c>
      <c r="T687" t="n">
        <v>2</v>
      </c>
      <c r="U687" t="inlineStr">
        <is>
          <t>2006-01-03</t>
        </is>
      </c>
      <c r="V687" t="inlineStr">
        <is>
          <t>2006-01-03</t>
        </is>
      </c>
      <c r="W687" t="inlineStr">
        <is>
          <t>1993-05-05</t>
        </is>
      </c>
      <c r="X687" t="inlineStr">
        <is>
          <t>1993-05-05</t>
        </is>
      </c>
      <c r="Y687" t="n">
        <v>648</v>
      </c>
      <c r="Z687" t="n">
        <v>561</v>
      </c>
      <c r="AA687" t="n">
        <v>1733</v>
      </c>
      <c r="AB687" t="n">
        <v>3</v>
      </c>
      <c r="AC687" t="n">
        <v>10</v>
      </c>
      <c r="AD687" t="n">
        <v>23</v>
      </c>
      <c r="AE687" t="n">
        <v>50</v>
      </c>
      <c r="AF687" t="n">
        <v>10</v>
      </c>
      <c r="AG687" t="n">
        <v>22</v>
      </c>
      <c r="AH687" t="n">
        <v>6</v>
      </c>
      <c r="AI687" t="n">
        <v>7</v>
      </c>
      <c r="AJ687" t="n">
        <v>11</v>
      </c>
      <c r="AK687" t="n">
        <v>22</v>
      </c>
      <c r="AL687" t="n">
        <v>2</v>
      </c>
      <c r="AM687" t="n">
        <v>9</v>
      </c>
      <c r="AN687" t="n">
        <v>0</v>
      </c>
      <c r="AO687" t="n">
        <v>0</v>
      </c>
      <c r="AP687" t="inlineStr">
        <is>
          <t>No</t>
        </is>
      </c>
      <c r="AQ687" t="inlineStr">
        <is>
          <t>Yes</t>
        </is>
      </c>
      <c r="AR687">
        <f>HYPERLINK("http://catalog.hathitrust.org/Record/000298967","HathiTrust Record")</f>
        <v/>
      </c>
      <c r="AS687">
        <f>HYPERLINK("https://creighton-primo.hosted.exlibrisgroup.com/primo-explore/search?tab=default_tab&amp;search_scope=EVERYTHING&amp;vid=01CRU&amp;lang=en_US&amp;offset=0&amp;query=any,contains,991004729619702656","Catalog Record")</f>
        <v/>
      </c>
      <c r="AT687">
        <f>HYPERLINK("http://www.worldcat.org/oclc/4832701","WorldCat Record")</f>
        <v/>
      </c>
      <c r="AU687" t="inlineStr">
        <is>
          <t>4917146563:eng</t>
        </is>
      </c>
      <c r="AV687" t="inlineStr">
        <is>
          <t>4832701</t>
        </is>
      </c>
      <c r="AW687" t="inlineStr">
        <is>
          <t>991004729619702656</t>
        </is>
      </c>
      <c r="AX687" t="inlineStr">
        <is>
          <t>991004729619702656</t>
        </is>
      </c>
      <c r="AY687" t="inlineStr">
        <is>
          <t>2268663240002656</t>
        </is>
      </c>
      <c r="AZ687" t="inlineStr">
        <is>
          <t>BOOK</t>
        </is>
      </c>
      <c r="BB687" t="inlineStr">
        <is>
          <t>9780824806163</t>
        </is>
      </c>
      <c r="BC687" t="inlineStr">
        <is>
          <t>32285001672632</t>
        </is>
      </c>
      <c r="BD687" t="inlineStr">
        <is>
          <t>893241776</t>
        </is>
      </c>
    </row>
    <row r="688">
      <c r="A688" t="inlineStr">
        <is>
          <t>No</t>
        </is>
      </c>
      <c r="B688" t="inlineStr">
        <is>
          <t>PL3227.E3 B8</t>
        </is>
      </c>
      <c r="C688" t="inlineStr">
        <is>
          <t>0                      PL 3227000E  3                  B  8</t>
        </is>
      </c>
      <c r="D688" t="inlineStr">
        <is>
          <t>Chinese poems, tr. by Charles Budd.</t>
        </is>
      </c>
      <c r="F688" t="inlineStr">
        <is>
          <t>No</t>
        </is>
      </c>
      <c r="G688" t="inlineStr">
        <is>
          <t>1</t>
        </is>
      </c>
      <c r="H688" t="inlineStr">
        <is>
          <t>No</t>
        </is>
      </c>
      <c r="I688" t="inlineStr">
        <is>
          <t>No</t>
        </is>
      </c>
      <c r="J688" t="inlineStr">
        <is>
          <t>0</t>
        </is>
      </c>
      <c r="K688" t="inlineStr">
        <is>
          <t>Budd, Charles, translator.</t>
        </is>
      </c>
      <c r="L688" t="inlineStr">
        <is>
          <t>London, New York [etc.] H. Frowde, 1912.</t>
        </is>
      </c>
      <c r="M688" t="inlineStr">
        <is>
          <t>1912</t>
        </is>
      </c>
      <c r="O688" t="inlineStr">
        <is>
          <t>eng</t>
        </is>
      </c>
      <c r="P688" t="inlineStr">
        <is>
          <t xml:space="preserve">xx </t>
        </is>
      </c>
      <c r="R688" t="inlineStr">
        <is>
          <t xml:space="preserve">PL </t>
        </is>
      </c>
      <c r="S688" t="n">
        <v>1</v>
      </c>
      <c r="T688" t="n">
        <v>1</v>
      </c>
      <c r="U688" t="inlineStr">
        <is>
          <t>2002-11-24</t>
        </is>
      </c>
      <c r="V688" t="inlineStr">
        <is>
          <t>2002-11-24</t>
        </is>
      </c>
      <c r="W688" t="inlineStr">
        <is>
          <t>1997-09-17</t>
        </is>
      </c>
      <c r="X688" t="inlineStr">
        <is>
          <t>1997-09-17</t>
        </is>
      </c>
      <c r="Y688" t="n">
        <v>97</v>
      </c>
      <c r="Z688" t="n">
        <v>79</v>
      </c>
      <c r="AA688" t="n">
        <v>101</v>
      </c>
      <c r="AB688" t="n">
        <v>2</v>
      </c>
      <c r="AC688" t="n">
        <v>2</v>
      </c>
      <c r="AD688" t="n">
        <v>1</v>
      </c>
      <c r="AE688" t="n">
        <v>1</v>
      </c>
      <c r="AF688" t="n">
        <v>0</v>
      </c>
      <c r="AG688" t="n">
        <v>0</v>
      </c>
      <c r="AH688" t="n">
        <v>0</v>
      </c>
      <c r="AI688" t="n">
        <v>0</v>
      </c>
      <c r="AJ688" t="n">
        <v>0</v>
      </c>
      <c r="AK688" t="n">
        <v>0</v>
      </c>
      <c r="AL688" t="n">
        <v>1</v>
      </c>
      <c r="AM688" t="n">
        <v>1</v>
      </c>
      <c r="AN688" t="n">
        <v>0</v>
      </c>
      <c r="AO688" t="n">
        <v>0</v>
      </c>
      <c r="AP688" t="inlineStr">
        <is>
          <t>Yes</t>
        </is>
      </c>
      <c r="AQ688" t="inlineStr">
        <is>
          <t>No</t>
        </is>
      </c>
      <c r="AR688">
        <f>HYPERLINK("http://catalog.hathitrust.org/Record/007685792","HathiTrust Record")</f>
        <v/>
      </c>
      <c r="AS688">
        <f>HYPERLINK("https://creighton-primo.hosted.exlibrisgroup.com/primo-explore/search?tab=default_tab&amp;search_scope=EVERYTHING&amp;vid=01CRU&amp;lang=en_US&amp;offset=0&amp;query=any,contains,991004692449702656","Catalog Record")</f>
        <v/>
      </c>
      <c r="AT688">
        <f>HYPERLINK("http://www.worldcat.org/oclc/4624532","WorldCat Record")</f>
        <v/>
      </c>
      <c r="AU688" t="inlineStr">
        <is>
          <t>14861173:eng</t>
        </is>
      </c>
      <c r="AV688" t="inlineStr">
        <is>
          <t>4624532</t>
        </is>
      </c>
      <c r="AW688" t="inlineStr">
        <is>
          <t>991004692449702656</t>
        </is>
      </c>
      <c r="AX688" t="inlineStr">
        <is>
          <t>991004692449702656</t>
        </is>
      </c>
      <c r="AY688" t="inlineStr">
        <is>
          <t>2255400130002656</t>
        </is>
      </c>
      <c r="AZ688" t="inlineStr">
        <is>
          <t>BOOK</t>
        </is>
      </c>
      <c r="BC688" t="inlineStr">
        <is>
          <t>32285003235362</t>
        </is>
      </c>
      <c r="BD688" t="inlineStr">
        <is>
          <t>893430373</t>
        </is>
      </c>
    </row>
    <row r="689">
      <c r="A689" t="inlineStr">
        <is>
          <t>No</t>
        </is>
      </c>
      <c r="B689" t="inlineStr">
        <is>
          <t>PL3277 .R4</t>
        </is>
      </c>
      <c r="C689" t="inlineStr">
        <is>
          <t>0                      PL 3277000R  4</t>
        </is>
      </c>
      <c r="D689" t="inlineStr">
        <is>
          <t>One hundred poems from the Chinese.</t>
        </is>
      </c>
      <c r="F689" t="inlineStr">
        <is>
          <t>No</t>
        </is>
      </c>
      <c r="G689" t="inlineStr">
        <is>
          <t>1</t>
        </is>
      </c>
      <c r="H689" t="inlineStr">
        <is>
          <t>No</t>
        </is>
      </c>
      <c r="I689" t="inlineStr">
        <is>
          <t>No</t>
        </is>
      </c>
      <c r="J689" t="inlineStr">
        <is>
          <t>0</t>
        </is>
      </c>
      <c r="K689" t="inlineStr">
        <is>
          <t>Rexroth, Kenneth, 1905-1982.</t>
        </is>
      </c>
      <c r="L689" t="inlineStr">
        <is>
          <t>[New York] New Directions [1956]</t>
        </is>
      </c>
      <c r="M689" t="inlineStr">
        <is>
          <t>1956</t>
        </is>
      </c>
      <c r="O689" t="inlineStr">
        <is>
          <t>eng</t>
        </is>
      </c>
      <c r="P689" t="inlineStr">
        <is>
          <t>nyu</t>
        </is>
      </c>
      <c r="R689" t="inlineStr">
        <is>
          <t xml:space="preserve">PL </t>
        </is>
      </c>
      <c r="S689" t="n">
        <v>5</v>
      </c>
      <c r="T689" t="n">
        <v>5</v>
      </c>
      <c r="U689" t="inlineStr">
        <is>
          <t>2000-08-25</t>
        </is>
      </c>
      <c r="V689" t="inlineStr">
        <is>
          <t>2000-08-25</t>
        </is>
      </c>
      <c r="W689" t="inlineStr">
        <is>
          <t>1997-09-17</t>
        </is>
      </c>
      <c r="X689" t="inlineStr">
        <is>
          <t>1997-09-17</t>
        </is>
      </c>
      <c r="Y689" t="n">
        <v>477</v>
      </c>
      <c r="Z689" t="n">
        <v>450</v>
      </c>
      <c r="AA689" t="n">
        <v>1195</v>
      </c>
      <c r="AB689" t="n">
        <v>6</v>
      </c>
      <c r="AC689" t="n">
        <v>8</v>
      </c>
      <c r="AD689" t="n">
        <v>17</v>
      </c>
      <c r="AE689" t="n">
        <v>33</v>
      </c>
      <c r="AF689" t="n">
        <v>4</v>
      </c>
      <c r="AG689" t="n">
        <v>12</v>
      </c>
      <c r="AH689" t="n">
        <v>4</v>
      </c>
      <c r="AI689" t="n">
        <v>8</v>
      </c>
      <c r="AJ689" t="n">
        <v>6</v>
      </c>
      <c r="AK689" t="n">
        <v>13</v>
      </c>
      <c r="AL689" t="n">
        <v>5</v>
      </c>
      <c r="AM689" t="n">
        <v>6</v>
      </c>
      <c r="AN689" t="n">
        <v>0</v>
      </c>
      <c r="AO689" t="n">
        <v>0</v>
      </c>
      <c r="AP689" t="inlineStr">
        <is>
          <t>No</t>
        </is>
      </c>
      <c r="AQ689" t="inlineStr">
        <is>
          <t>Yes</t>
        </is>
      </c>
      <c r="AR689">
        <f>HYPERLINK("http://catalog.hathitrust.org/Record/004470369","HathiTrust Record")</f>
        <v/>
      </c>
      <c r="AS689">
        <f>HYPERLINK("https://creighton-primo.hosted.exlibrisgroup.com/primo-explore/search?tab=default_tab&amp;search_scope=EVERYTHING&amp;vid=01CRU&amp;lang=en_US&amp;offset=0&amp;query=any,contains,991005363169702656","Catalog Record")</f>
        <v/>
      </c>
      <c r="AT689">
        <f>HYPERLINK("http://www.worldcat.org/oclc/1593162","WorldCat Record")</f>
        <v/>
      </c>
      <c r="AU689" t="inlineStr">
        <is>
          <t>57478282:eng</t>
        </is>
      </c>
      <c r="AV689" t="inlineStr">
        <is>
          <t>1593162</t>
        </is>
      </c>
      <c r="AW689" t="inlineStr">
        <is>
          <t>991005363169702656</t>
        </is>
      </c>
      <c r="AX689" t="inlineStr">
        <is>
          <t>991005363169702656</t>
        </is>
      </c>
      <c r="AY689" t="inlineStr">
        <is>
          <t>2270491320002656</t>
        </is>
      </c>
      <c r="AZ689" t="inlineStr">
        <is>
          <t>BOOK</t>
        </is>
      </c>
      <c r="BC689" t="inlineStr">
        <is>
          <t>32285003235404</t>
        </is>
      </c>
      <c r="BD689" t="inlineStr">
        <is>
          <t>893536591</t>
        </is>
      </c>
    </row>
    <row r="690">
      <c r="A690" t="inlineStr">
        <is>
          <t>No</t>
        </is>
      </c>
      <c r="B690" t="inlineStr">
        <is>
          <t>PL3277.E1 L47 1963</t>
        </is>
      </c>
      <c r="C690" t="inlineStr">
        <is>
          <t>0                      PL 3277000E  1                  L  47          1963</t>
        </is>
      </c>
      <c r="D690" t="inlineStr">
        <is>
          <t>Translations from the Chinese : the importance of understanding / by Lin Yutang.</t>
        </is>
      </c>
      <c r="F690" t="inlineStr">
        <is>
          <t>No</t>
        </is>
      </c>
      <c r="G690" t="inlineStr">
        <is>
          <t>1</t>
        </is>
      </c>
      <c r="H690" t="inlineStr">
        <is>
          <t>No</t>
        </is>
      </c>
      <c r="I690" t="inlineStr">
        <is>
          <t>No</t>
        </is>
      </c>
      <c r="J690" t="inlineStr">
        <is>
          <t>0</t>
        </is>
      </c>
      <c r="K690" t="inlineStr">
        <is>
          <t>Lin, Yutang, 1895-1976.</t>
        </is>
      </c>
      <c r="L690" t="inlineStr">
        <is>
          <t>Cleveland : World Pub. Co., [1963, c1960]</t>
        </is>
      </c>
      <c r="M690" t="inlineStr">
        <is>
          <t>1963</t>
        </is>
      </c>
      <c r="O690" t="inlineStr">
        <is>
          <t>eng</t>
        </is>
      </c>
      <c r="P690" t="inlineStr">
        <is>
          <t>ohu</t>
        </is>
      </c>
      <c r="Q690" t="inlineStr">
        <is>
          <t>Forum books</t>
        </is>
      </c>
      <c r="R690" t="inlineStr">
        <is>
          <t xml:space="preserve">PL </t>
        </is>
      </c>
      <c r="S690" t="n">
        <v>8</v>
      </c>
      <c r="T690" t="n">
        <v>8</v>
      </c>
      <c r="U690" t="inlineStr">
        <is>
          <t>2004-03-25</t>
        </is>
      </c>
      <c r="V690" t="inlineStr">
        <is>
          <t>2004-03-25</t>
        </is>
      </c>
      <c r="W690" t="inlineStr">
        <is>
          <t>1997-09-17</t>
        </is>
      </c>
      <c r="X690" t="inlineStr">
        <is>
          <t>1997-09-17</t>
        </is>
      </c>
      <c r="Y690" t="n">
        <v>83</v>
      </c>
      <c r="Z690" t="n">
        <v>75</v>
      </c>
      <c r="AA690" t="n">
        <v>90</v>
      </c>
      <c r="AB690" t="n">
        <v>1</v>
      </c>
      <c r="AC690" t="n">
        <v>1</v>
      </c>
      <c r="AD690" t="n">
        <v>6</v>
      </c>
      <c r="AE690" t="n">
        <v>7</v>
      </c>
      <c r="AF690" t="n">
        <v>4</v>
      </c>
      <c r="AG690" t="n">
        <v>4</v>
      </c>
      <c r="AH690" t="n">
        <v>1</v>
      </c>
      <c r="AI690" t="n">
        <v>2</v>
      </c>
      <c r="AJ690" t="n">
        <v>3</v>
      </c>
      <c r="AK690" t="n">
        <v>3</v>
      </c>
      <c r="AL690" t="n">
        <v>0</v>
      </c>
      <c r="AM690" t="n">
        <v>0</v>
      </c>
      <c r="AN690" t="n">
        <v>0</v>
      </c>
      <c r="AO690" t="n">
        <v>0</v>
      </c>
      <c r="AP690" t="inlineStr">
        <is>
          <t>No</t>
        </is>
      </c>
      <c r="AQ690" t="inlineStr">
        <is>
          <t>No</t>
        </is>
      </c>
      <c r="AS690">
        <f>HYPERLINK("https://creighton-primo.hosted.exlibrisgroup.com/primo-explore/search?tab=default_tab&amp;search_scope=EVERYTHING&amp;vid=01CRU&amp;lang=en_US&amp;offset=0&amp;query=any,contains,991004079149702656","Catalog Record")</f>
        <v/>
      </c>
      <c r="AT690">
        <f>HYPERLINK("http://www.worldcat.org/oclc/2322453","WorldCat Record")</f>
        <v/>
      </c>
      <c r="AU690" t="inlineStr">
        <is>
          <t>4710823:eng</t>
        </is>
      </c>
      <c r="AV690" t="inlineStr">
        <is>
          <t>2322453</t>
        </is>
      </c>
      <c r="AW690" t="inlineStr">
        <is>
          <t>991004079149702656</t>
        </is>
      </c>
      <c r="AX690" t="inlineStr">
        <is>
          <t>991004079149702656</t>
        </is>
      </c>
      <c r="AY690" t="inlineStr">
        <is>
          <t>2259407510002656</t>
        </is>
      </c>
      <c r="AZ690" t="inlineStr">
        <is>
          <t>BOOK</t>
        </is>
      </c>
      <c r="BC690" t="inlineStr">
        <is>
          <t>32285003235370</t>
        </is>
      </c>
      <c r="BD690" t="inlineStr">
        <is>
          <t>893411095</t>
        </is>
      </c>
    </row>
    <row r="691">
      <c r="A691" t="inlineStr">
        <is>
          <t>No</t>
        </is>
      </c>
      <c r="B691" t="inlineStr">
        <is>
          <t>PL3277.E22 L4 1870b</t>
        </is>
      </c>
      <c r="C691" t="inlineStr">
        <is>
          <t>0                      PL 3277000E  22                 L  4           1870b</t>
        </is>
      </c>
      <c r="D691" t="inlineStr">
        <is>
          <t>The Chinese classics / a translation by James Legge.</t>
        </is>
      </c>
      <c r="F691" t="inlineStr">
        <is>
          <t>No</t>
        </is>
      </c>
      <c r="G691" t="inlineStr">
        <is>
          <t>1</t>
        </is>
      </c>
      <c r="H691" t="inlineStr">
        <is>
          <t>No</t>
        </is>
      </c>
      <c r="I691" t="inlineStr">
        <is>
          <t>No</t>
        </is>
      </c>
      <c r="J691" t="inlineStr">
        <is>
          <t>0</t>
        </is>
      </c>
      <c r="K691" t="inlineStr">
        <is>
          <t>Si shu</t>
        </is>
      </c>
      <c r="L691" t="inlineStr">
        <is>
          <t>New York : John W. Lovell Company, 1870.</t>
        </is>
      </c>
      <c r="M691" t="inlineStr">
        <is>
          <t>1870</t>
        </is>
      </c>
      <c r="O691" t="inlineStr">
        <is>
          <t>eng</t>
        </is>
      </c>
      <c r="P691" t="inlineStr">
        <is>
          <t>nyu</t>
        </is>
      </c>
      <c r="R691" t="inlineStr">
        <is>
          <t xml:space="preserve">PL </t>
        </is>
      </c>
      <c r="S691" t="n">
        <v>14</v>
      </c>
      <c r="T691" t="n">
        <v>14</v>
      </c>
      <c r="U691" t="inlineStr">
        <is>
          <t>2000-04-17</t>
        </is>
      </c>
      <c r="V691" t="inlineStr">
        <is>
          <t>2000-04-17</t>
        </is>
      </c>
      <c r="W691" t="inlineStr">
        <is>
          <t>1992-03-24</t>
        </is>
      </c>
      <c r="X691" t="inlineStr">
        <is>
          <t>1992-03-24</t>
        </is>
      </c>
      <c r="Y691" t="n">
        <v>11</v>
      </c>
      <c r="Z691" t="n">
        <v>8</v>
      </c>
      <c r="AA691" t="n">
        <v>225</v>
      </c>
      <c r="AB691" t="n">
        <v>1</v>
      </c>
      <c r="AC691" t="n">
        <v>2</v>
      </c>
      <c r="AD691" t="n">
        <v>0</v>
      </c>
      <c r="AE691" t="n">
        <v>9</v>
      </c>
      <c r="AF691" t="n">
        <v>0</v>
      </c>
      <c r="AG691" t="n">
        <v>4</v>
      </c>
      <c r="AH691" t="n">
        <v>0</v>
      </c>
      <c r="AI691" t="n">
        <v>2</v>
      </c>
      <c r="AJ691" t="n">
        <v>0</v>
      </c>
      <c r="AK691" t="n">
        <v>3</v>
      </c>
      <c r="AL691" t="n">
        <v>0</v>
      </c>
      <c r="AM691" t="n">
        <v>1</v>
      </c>
      <c r="AN691" t="n">
        <v>0</v>
      </c>
      <c r="AO691" t="n">
        <v>0</v>
      </c>
      <c r="AP691" t="inlineStr">
        <is>
          <t>No</t>
        </is>
      </c>
      <c r="AQ691" t="inlineStr">
        <is>
          <t>No</t>
        </is>
      </c>
      <c r="AS691">
        <f>HYPERLINK("https://creighton-primo.hosted.exlibrisgroup.com/primo-explore/search?tab=default_tab&amp;search_scope=EVERYTHING&amp;vid=01CRU&amp;lang=en_US&amp;offset=0&amp;query=any,contains,991005406359702656","Catalog Record")</f>
        <v/>
      </c>
      <c r="AT691">
        <f>HYPERLINK("http://www.worldcat.org/oclc/13303668","WorldCat Record")</f>
        <v/>
      </c>
      <c r="AU691" t="inlineStr">
        <is>
          <t>10200661371:eng</t>
        </is>
      </c>
      <c r="AV691" t="inlineStr">
        <is>
          <t>13303668</t>
        </is>
      </c>
      <c r="AW691" t="inlineStr">
        <is>
          <t>991005406359702656</t>
        </is>
      </c>
      <c r="AX691" t="inlineStr">
        <is>
          <t>991005406359702656</t>
        </is>
      </c>
      <c r="AY691" t="inlineStr">
        <is>
          <t>2272778760002656</t>
        </is>
      </c>
      <c r="AZ691" t="inlineStr">
        <is>
          <t>BOOK</t>
        </is>
      </c>
      <c r="BC691" t="inlineStr">
        <is>
          <t>32285001027522</t>
        </is>
      </c>
      <c r="BD691" t="inlineStr">
        <is>
          <t>893896407</t>
        </is>
      </c>
    </row>
    <row r="692">
      <c r="A692" t="inlineStr">
        <is>
          <t>No</t>
        </is>
      </c>
      <c r="B692" t="inlineStr">
        <is>
          <t>PL3277.E3 H33 1968</t>
        </is>
      </c>
      <c r="C692" t="inlineStr">
        <is>
          <t>0                      PL 3277000E  3                  H  33          1968</t>
        </is>
      </c>
      <c r="D692" t="inlineStr">
        <is>
          <t>Poems of the hundred names : a short introduction to Chinese poetry together with 208 original translations / by Henry H. Hart.</t>
        </is>
      </c>
      <c r="F692" t="inlineStr">
        <is>
          <t>No</t>
        </is>
      </c>
      <c r="G692" t="inlineStr">
        <is>
          <t>1</t>
        </is>
      </c>
      <c r="H692" t="inlineStr">
        <is>
          <t>No</t>
        </is>
      </c>
      <c r="I692" t="inlineStr">
        <is>
          <t>No</t>
        </is>
      </c>
      <c r="J692" t="inlineStr">
        <is>
          <t>0</t>
        </is>
      </c>
      <c r="K692" t="inlineStr">
        <is>
          <t>Hart, Henry H. (Henry Hersch), 1886-1968.</t>
        </is>
      </c>
      <c r="L692" t="inlineStr">
        <is>
          <t>New York : Greenwood Press, 1968.</t>
        </is>
      </c>
      <c r="M692" t="inlineStr">
        <is>
          <t>1968</t>
        </is>
      </c>
      <c r="N692" t="inlineStr">
        <is>
          <t>[3d ed.]</t>
        </is>
      </c>
      <c r="O692" t="inlineStr">
        <is>
          <t>eng</t>
        </is>
      </c>
      <c r="P692" t="inlineStr">
        <is>
          <t>nyu</t>
        </is>
      </c>
      <c r="R692" t="inlineStr">
        <is>
          <t xml:space="preserve">PL </t>
        </is>
      </c>
      <c r="S692" t="n">
        <v>8</v>
      </c>
      <c r="T692" t="n">
        <v>8</v>
      </c>
      <c r="U692" t="inlineStr">
        <is>
          <t>2002-11-24</t>
        </is>
      </c>
      <c r="V692" t="inlineStr">
        <is>
          <t>2002-11-24</t>
        </is>
      </c>
      <c r="W692" t="inlineStr">
        <is>
          <t>1993-12-13</t>
        </is>
      </c>
      <c r="X692" t="inlineStr">
        <is>
          <t>1993-12-13</t>
        </is>
      </c>
      <c r="Y692" t="n">
        <v>316</v>
      </c>
      <c r="Z692" t="n">
        <v>292</v>
      </c>
      <c r="AA692" t="n">
        <v>501</v>
      </c>
      <c r="AB692" t="n">
        <v>4</v>
      </c>
      <c r="AC692" t="n">
        <v>8</v>
      </c>
      <c r="AD692" t="n">
        <v>20</v>
      </c>
      <c r="AE692" t="n">
        <v>27</v>
      </c>
      <c r="AF692" t="n">
        <v>7</v>
      </c>
      <c r="AG692" t="n">
        <v>8</v>
      </c>
      <c r="AH692" t="n">
        <v>1</v>
      </c>
      <c r="AI692" t="n">
        <v>3</v>
      </c>
      <c r="AJ692" t="n">
        <v>10</v>
      </c>
      <c r="AK692" t="n">
        <v>12</v>
      </c>
      <c r="AL692" t="n">
        <v>3</v>
      </c>
      <c r="AM692" t="n">
        <v>6</v>
      </c>
      <c r="AN692" t="n">
        <v>0</v>
      </c>
      <c r="AO692" t="n">
        <v>0</v>
      </c>
      <c r="AP692" t="inlineStr">
        <is>
          <t>No</t>
        </is>
      </c>
      <c r="AQ692" t="inlineStr">
        <is>
          <t>No</t>
        </is>
      </c>
      <c r="AS692">
        <f>HYPERLINK("https://creighton-primo.hosted.exlibrisgroup.com/primo-explore/search?tab=default_tab&amp;search_scope=EVERYTHING&amp;vid=01CRU&amp;lang=en_US&amp;offset=0&amp;query=any,contains,991003374039702656","Catalog Record")</f>
        <v/>
      </c>
      <c r="AT692">
        <f>HYPERLINK("http://www.worldcat.org/oclc/910520","WorldCat Record")</f>
        <v/>
      </c>
      <c r="AU692" t="inlineStr">
        <is>
          <t>2863499691:eng</t>
        </is>
      </c>
      <c r="AV692" t="inlineStr">
        <is>
          <t>910520</t>
        </is>
      </c>
      <c r="AW692" t="inlineStr">
        <is>
          <t>991003374039702656</t>
        </is>
      </c>
      <c r="AX692" t="inlineStr">
        <is>
          <t>991003374039702656</t>
        </is>
      </c>
      <c r="AY692" t="inlineStr">
        <is>
          <t>2266747670002656</t>
        </is>
      </c>
      <c r="AZ692" t="inlineStr">
        <is>
          <t>BOOK</t>
        </is>
      </c>
      <c r="BC692" t="inlineStr">
        <is>
          <t>32285001808012</t>
        </is>
      </c>
      <c r="BD692" t="inlineStr">
        <is>
          <t>893686494</t>
        </is>
      </c>
    </row>
    <row r="693">
      <c r="A693" t="inlineStr">
        <is>
          <t>No</t>
        </is>
      </c>
      <c r="B693" t="inlineStr">
        <is>
          <t>PL3277.E3 P3 1947</t>
        </is>
      </c>
      <c r="C693" t="inlineStr">
        <is>
          <t>0                      PL 3277000E  3                  P  3           1947</t>
        </is>
      </c>
      <c r="D693" t="inlineStr">
        <is>
          <t>The white pony, an anthology of Chinese poetry from the earliest times to the present day, newly translated. Edited by Robert Payne.</t>
        </is>
      </c>
      <c r="F693" t="inlineStr">
        <is>
          <t>No</t>
        </is>
      </c>
      <c r="G693" t="inlineStr">
        <is>
          <t>1</t>
        </is>
      </c>
      <c r="H693" t="inlineStr">
        <is>
          <t>No</t>
        </is>
      </c>
      <c r="I693" t="inlineStr">
        <is>
          <t>No</t>
        </is>
      </c>
      <c r="J693" t="inlineStr">
        <is>
          <t>0</t>
        </is>
      </c>
      <c r="K693" t="inlineStr">
        <is>
          <t>Payne, Robert, 1911-1983 editor.</t>
        </is>
      </c>
      <c r="L693" t="inlineStr">
        <is>
          <t>New York, New American Library [1947]</t>
        </is>
      </c>
      <c r="M693" t="inlineStr">
        <is>
          <t>1947</t>
        </is>
      </c>
      <c r="O693" t="inlineStr">
        <is>
          <t>eng</t>
        </is>
      </c>
      <c r="P693" t="inlineStr">
        <is>
          <t>nyu</t>
        </is>
      </c>
      <c r="Q693" t="inlineStr">
        <is>
          <t>A Mentor book</t>
        </is>
      </c>
      <c r="R693" t="inlineStr">
        <is>
          <t xml:space="preserve">PL </t>
        </is>
      </c>
      <c r="S693" t="n">
        <v>3</v>
      </c>
      <c r="T693" t="n">
        <v>3</v>
      </c>
      <c r="U693" t="inlineStr">
        <is>
          <t>1997-11-09</t>
        </is>
      </c>
      <c r="V693" t="inlineStr">
        <is>
          <t>1997-11-09</t>
        </is>
      </c>
      <c r="W693" t="inlineStr">
        <is>
          <t>1997-09-17</t>
        </is>
      </c>
      <c r="X693" t="inlineStr">
        <is>
          <t>1997-09-17</t>
        </is>
      </c>
      <c r="Y693" t="n">
        <v>246</v>
      </c>
      <c r="Z693" t="n">
        <v>225</v>
      </c>
      <c r="AA693" t="n">
        <v>660</v>
      </c>
      <c r="AB693" t="n">
        <v>2</v>
      </c>
      <c r="AC693" t="n">
        <v>9</v>
      </c>
      <c r="AD693" t="n">
        <v>8</v>
      </c>
      <c r="AE693" t="n">
        <v>24</v>
      </c>
      <c r="AF693" t="n">
        <v>3</v>
      </c>
      <c r="AG693" t="n">
        <v>7</v>
      </c>
      <c r="AH693" t="n">
        <v>0</v>
      </c>
      <c r="AI693" t="n">
        <v>3</v>
      </c>
      <c r="AJ693" t="n">
        <v>4</v>
      </c>
      <c r="AK693" t="n">
        <v>12</v>
      </c>
      <c r="AL693" t="n">
        <v>1</v>
      </c>
      <c r="AM693" t="n">
        <v>6</v>
      </c>
      <c r="AN693" t="n">
        <v>0</v>
      </c>
      <c r="AO693" t="n">
        <v>0</v>
      </c>
      <c r="AP693" t="inlineStr">
        <is>
          <t>No</t>
        </is>
      </c>
      <c r="AQ693" t="inlineStr">
        <is>
          <t>No</t>
        </is>
      </c>
      <c r="AS693">
        <f>HYPERLINK("https://creighton-primo.hosted.exlibrisgroup.com/primo-explore/search?tab=default_tab&amp;search_scope=EVERYTHING&amp;vid=01CRU&amp;lang=en_US&amp;offset=0&amp;query=any,contains,991004098539702656","Catalog Record")</f>
        <v/>
      </c>
      <c r="AT693">
        <f>HYPERLINK("http://www.worldcat.org/oclc/2365205","WorldCat Record")</f>
        <v/>
      </c>
      <c r="AU693" t="inlineStr">
        <is>
          <t>1070259173:eng</t>
        </is>
      </c>
      <c r="AV693" t="inlineStr">
        <is>
          <t>2365205</t>
        </is>
      </c>
      <c r="AW693" t="inlineStr">
        <is>
          <t>991004098539702656</t>
        </is>
      </c>
      <c r="AX693" t="inlineStr">
        <is>
          <t>991004098539702656</t>
        </is>
      </c>
      <c r="AY693" t="inlineStr">
        <is>
          <t>2266165030002656</t>
        </is>
      </c>
      <c r="AZ693" t="inlineStr">
        <is>
          <t>BOOK</t>
        </is>
      </c>
      <c r="BC693" t="inlineStr">
        <is>
          <t>32285003235388</t>
        </is>
      </c>
      <c r="BD693" t="inlineStr">
        <is>
          <t>893506409</t>
        </is>
      </c>
    </row>
    <row r="694">
      <c r="A694" t="inlineStr">
        <is>
          <t>No</t>
        </is>
      </c>
      <c r="B694" t="inlineStr">
        <is>
          <t>PL3277.E3 W54</t>
        </is>
      </c>
      <c r="C694" t="inlineStr">
        <is>
          <t>0                      PL 3277000E  3                  W  54</t>
        </is>
      </c>
      <c r="D694" t="inlineStr">
        <is>
          <t>Translations from the Chinese, by Arthur Waley, illustrated by Cyrus LeRoy Baldridge.</t>
        </is>
      </c>
      <c r="F694" t="inlineStr">
        <is>
          <t>No</t>
        </is>
      </c>
      <c r="G694" t="inlineStr">
        <is>
          <t>1</t>
        </is>
      </c>
      <c r="H694" t="inlineStr">
        <is>
          <t>No</t>
        </is>
      </c>
      <c r="I694" t="inlineStr">
        <is>
          <t>No</t>
        </is>
      </c>
      <c r="J694" t="inlineStr">
        <is>
          <t>0</t>
        </is>
      </c>
      <c r="K694" t="inlineStr">
        <is>
          <t>Waley, Arthur translator.</t>
        </is>
      </c>
      <c r="L694" t="inlineStr">
        <is>
          <t>New York, A. A. Knopf, 1941.</t>
        </is>
      </c>
      <c r="M694" t="inlineStr">
        <is>
          <t>1941</t>
        </is>
      </c>
      <c r="O694" t="inlineStr">
        <is>
          <t>eng</t>
        </is>
      </c>
      <c r="P694" t="inlineStr">
        <is>
          <t>nyu</t>
        </is>
      </c>
      <c r="R694" t="inlineStr">
        <is>
          <t xml:space="preserve">PL </t>
        </is>
      </c>
      <c r="S694" t="n">
        <v>4</v>
      </c>
      <c r="T694" t="n">
        <v>4</v>
      </c>
      <c r="U694" t="inlineStr">
        <is>
          <t>2003-11-10</t>
        </is>
      </c>
      <c r="V694" t="inlineStr">
        <is>
          <t>2003-11-10</t>
        </is>
      </c>
      <c r="W694" t="inlineStr">
        <is>
          <t>1997-09-17</t>
        </is>
      </c>
      <c r="X694" t="inlineStr">
        <is>
          <t>1997-09-17</t>
        </is>
      </c>
      <c r="Y694" t="n">
        <v>1860</v>
      </c>
      <c r="Z694" t="n">
        <v>1765</v>
      </c>
      <c r="AA694" t="n">
        <v>1899</v>
      </c>
      <c r="AB694" t="n">
        <v>20</v>
      </c>
      <c r="AC694" t="n">
        <v>20</v>
      </c>
      <c r="AD694" t="n">
        <v>53</v>
      </c>
      <c r="AE694" t="n">
        <v>54</v>
      </c>
      <c r="AF694" t="n">
        <v>20</v>
      </c>
      <c r="AG694" t="n">
        <v>21</v>
      </c>
      <c r="AH694" t="n">
        <v>8</v>
      </c>
      <c r="AI694" t="n">
        <v>8</v>
      </c>
      <c r="AJ694" t="n">
        <v>23</v>
      </c>
      <c r="AK694" t="n">
        <v>23</v>
      </c>
      <c r="AL694" t="n">
        <v>11</v>
      </c>
      <c r="AM694" t="n">
        <v>11</v>
      </c>
      <c r="AN694" t="n">
        <v>0</v>
      </c>
      <c r="AO694" t="n">
        <v>0</v>
      </c>
      <c r="AP694" t="inlineStr">
        <is>
          <t>No</t>
        </is>
      </c>
      <c r="AQ694" t="inlineStr">
        <is>
          <t>Yes</t>
        </is>
      </c>
      <c r="AR694">
        <f>HYPERLINK("http://catalog.hathitrust.org/Record/001185198","HathiTrust Record")</f>
        <v/>
      </c>
      <c r="AS694">
        <f>HYPERLINK("https://creighton-primo.hosted.exlibrisgroup.com/primo-explore/search?tab=default_tab&amp;search_scope=EVERYTHING&amp;vid=01CRU&amp;lang=en_US&amp;offset=0&amp;query=any,contains,991002347929702656","Catalog Record")</f>
        <v/>
      </c>
      <c r="AT694">
        <f>HYPERLINK("http://www.worldcat.org/oclc/324857","WorldCat Record")</f>
        <v/>
      </c>
      <c r="AU694" t="inlineStr">
        <is>
          <t>1412188:eng</t>
        </is>
      </c>
      <c r="AV694" t="inlineStr">
        <is>
          <t>324857</t>
        </is>
      </c>
      <c r="AW694" t="inlineStr">
        <is>
          <t>991002347929702656</t>
        </is>
      </c>
      <c r="AX694" t="inlineStr">
        <is>
          <t>991002347929702656</t>
        </is>
      </c>
      <c r="AY694" t="inlineStr">
        <is>
          <t>2254726930002656</t>
        </is>
      </c>
      <c r="AZ694" t="inlineStr">
        <is>
          <t>BOOK</t>
        </is>
      </c>
      <c r="BC694" t="inlineStr">
        <is>
          <t>32285003235396</t>
        </is>
      </c>
      <c r="BD694" t="inlineStr">
        <is>
          <t>893504307</t>
        </is>
      </c>
    </row>
    <row r="695">
      <c r="A695" t="inlineStr">
        <is>
          <t>No</t>
        </is>
      </c>
      <c r="B695" t="inlineStr">
        <is>
          <t>PL3508.8 .I67 2000</t>
        </is>
      </c>
      <c r="C695" t="inlineStr">
        <is>
          <t>0                      PL 3508800I  67          2000</t>
        </is>
      </c>
      <c r="D695" t="inlineStr">
        <is>
          <t>Interactions : essays on the literature and culture of the Asia-Pacific region / edited by Dennis Haskell &amp; Ron Shapiro ; associate editor Tony Simoes da Silva.</t>
        </is>
      </c>
      <c r="F695" t="inlineStr">
        <is>
          <t>No</t>
        </is>
      </c>
      <c r="G695" t="inlineStr">
        <is>
          <t>1</t>
        </is>
      </c>
      <c r="H695" t="inlineStr">
        <is>
          <t>No</t>
        </is>
      </c>
      <c r="I695" t="inlineStr">
        <is>
          <t>No</t>
        </is>
      </c>
      <c r="J695" t="inlineStr">
        <is>
          <t>0</t>
        </is>
      </c>
      <c r="L695" t="inlineStr">
        <is>
          <t>Nedlands, W.A. : University of Western Australia Press [in association with] Centre for Studies in Australian Literature, 2000.</t>
        </is>
      </c>
      <c r="M695" t="inlineStr">
        <is>
          <t>2000</t>
        </is>
      </c>
      <c r="O695" t="inlineStr">
        <is>
          <t>eng</t>
        </is>
      </c>
      <c r="P695" t="inlineStr">
        <is>
          <t xml:space="preserve">at </t>
        </is>
      </c>
      <c r="R695" t="inlineStr">
        <is>
          <t xml:space="preserve">PL </t>
        </is>
      </c>
      <c r="S695" t="n">
        <v>1</v>
      </c>
      <c r="T695" t="n">
        <v>1</v>
      </c>
      <c r="U695" t="inlineStr">
        <is>
          <t>2007-01-24</t>
        </is>
      </c>
      <c r="V695" t="inlineStr">
        <is>
          <t>2007-01-24</t>
        </is>
      </c>
      <c r="W695" t="inlineStr">
        <is>
          <t>2007-01-24</t>
        </is>
      </c>
      <c r="X695" t="inlineStr">
        <is>
          <t>2007-01-24</t>
        </is>
      </c>
      <c r="Y695" t="n">
        <v>44</v>
      </c>
      <c r="Z695" t="n">
        <v>15</v>
      </c>
      <c r="AA695" t="n">
        <v>15</v>
      </c>
      <c r="AB695" t="n">
        <v>1</v>
      </c>
      <c r="AC695" t="n">
        <v>1</v>
      </c>
      <c r="AD695" t="n">
        <v>1</v>
      </c>
      <c r="AE695" t="n">
        <v>1</v>
      </c>
      <c r="AF695" t="n">
        <v>0</v>
      </c>
      <c r="AG695" t="n">
        <v>0</v>
      </c>
      <c r="AH695" t="n">
        <v>1</v>
      </c>
      <c r="AI695" t="n">
        <v>1</v>
      </c>
      <c r="AJ695" t="n">
        <v>1</v>
      </c>
      <c r="AK695" t="n">
        <v>1</v>
      </c>
      <c r="AL695" t="n">
        <v>0</v>
      </c>
      <c r="AM695" t="n">
        <v>0</v>
      </c>
      <c r="AN695" t="n">
        <v>0</v>
      </c>
      <c r="AO695" t="n">
        <v>0</v>
      </c>
      <c r="AP695" t="inlineStr">
        <is>
          <t>No</t>
        </is>
      </c>
      <c r="AQ695" t="inlineStr">
        <is>
          <t>No</t>
        </is>
      </c>
      <c r="AS695">
        <f>HYPERLINK("https://creighton-primo.hosted.exlibrisgroup.com/primo-explore/search?tab=default_tab&amp;search_scope=EVERYTHING&amp;vid=01CRU&amp;lang=en_US&amp;offset=0&amp;query=any,contains,991004998539702656","Catalog Record")</f>
        <v/>
      </c>
      <c r="AT695">
        <f>HYPERLINK("http://www.worldcat.org/oclc/48064612","WorldCat Record")</f>
        <v/>
      </c>
      <c r="AU695" t="inlineStr">
        <is>
          <t>9049515:eng</t>
        </is>
      </c>
      <c r="AV695" t="inlineStr">
        <is>
          <t>48064612</t>
        </is>
      </c>
      <c r="AW695" t="inlineStr">
        <is>
          <t>991004998539702656</t>
        </is>
      </c>
      <c r="AX695" t="inlineStr">
        <is>
          <t>991004998539702656</t>
        </is>
      </c>
      <c r="AY695" t="inlineStr">
        <is>
          <t>2268828710002656</t>
        </is>
      </c>
      <c r="AZ695" t="inlineStr">
        <is>
          <t>BOOK</t>
        </is>
      </c>
      <c r="BB695" t="inlineStr">
        <is>
          <t>9781876268503</t>
        </is>
      </c>
      <c r="BC695" t="inlineStr">
        <is>
          <t>32285005272421</t>
        </is>
      </c>
      <c r="BD695" t="inlineStr">
        <is>
          <t>893594330</t>
        </is>
      </c>
    </row>
    <row r="696">
      <c r="A696" t="inlineStr">
        <is>
          <t>No</t>
        </is>
      </c>
      <c r="B696" t="inlineStr">
        <is>
          <t>PL3508.8 .V57 2002</t>
        </is>
      </c>
      <c r="C696" t="inlineStr">
        <is>
          <t>0                      PL 3508800V  57          2002</t>
        </is>
      </c>
      <c r="D696" t="inlineStr">
        <is>
          <t>Virtual lotus : modern fiction of Southeast Asia / edited by Teri Shaffer Yamada.</t>
        </is>
      </c>
      <c r="F696" t="inlineStr">
        <is>
          <t>No</t>
        </is>
      </c>
      <c r="G696" t="inlineStr">
        <is>
          <t>1</t>
        </is>
      </c>
      <c r="H696" t="inlineStr">
        <is>
          <t>No</t>
        </is>
      </c>
      <c r="I696" t="inlineStr">
        <is>
          <t>No</t>
        </is>
      </c>
      <c r="J696" t="inlineStr">
        <is>
          <t>0</t>
        </is>
      </c>
      <c r="L696" t="inlineStr">
        <is>
          <t>Ann Arbor : University of Michigan Press, c2002.</t>
        </is>
      </c>
      <c r="M696" t="inlineStr">
        <is>
          <t>2002</t>
        </is>
      </c>
      <c r="O696" t="inlineStr">
        <is>
          <t>eng</t>
        </is>
      </c>
      <c r="P696" t="inlineStr">
        <is>
          <t>miu</t>
        </is>
      </c>
      <c r="R696" t="inlineStr">
        <is>
          <t xml:space="preserve">PL </t>
        </is>
      </c>
      <c r="S696" t="n">
        <v>1</v>
      </c>
      <c r="T696" t="n">
        <v>1</v>
      </c>
      <c r="U696" t="inlineStr">
        <is>
          <t>2002-10-22</t>
        </is>
      </c>
      <c r="V696" t="inlineStr">
        <is>
          <t>2002-10-22</t>
        </is>
      </c>
      <c r="W696" t="inlineStr">
        <is>
          <t>2002-10-22</t>
        </is>
      </c>
      <c r="X696" t="inlineStr">
        <is>
          <t>2002-10-22</t>
        </is>
      </c>
      <c r="Y696" t="n">
        <v>405</v>
      </c>
      <c r="Z696" t="n">
        <v>345</v>
      </c>
      <c r="AA696" t="n">
        <v>345</v>
      </c>
      <c r="AB696" t="n">
        <v>1</v>
      </c>
      <c r="AC696" t="n">
        <v>1</v>
      </c>
      <c r="AD696" t="n">
        <v>22</v>
      </c>
      <c r="AE696" t="n">
        <v>22</v>
      </c>
      <c r="AF696" t="n">
        <v>11</v>
      </c>
      <c r="AG696" t="n">
        <v>11</v>
      </c>
      <c r="AH696" t="n">
        <v>4</v>
      </c>
      <c r="AI696" t="n">
        <v>4</v>
      </c>
      <c r="AJ696" t="n">
        <v>12</v>
      </c>
      <c r="AK696" t="n">
        <v>12</v>
      </c>
      <c r="AL696" t="n">
        <v>0</v>
      </c>
      <c r="AM696" t="n">
        <v>0</v>
      </c>
      <c r="AN696" t="n">
        <v>0</v>
      </c>
      <c r="AO696" t="n">
        <v>0</v>
      </c>
      <c r="AP696" t="inlineStr">
        <is>
          <t>No</t>
        </is>
      </c>
      <c r="AQ696" t="inlineStr">
        <is>
          <t>No</t>
        </is>
      </c>
      <c r="AS696">
        <f>HYPERLINK("https://creighton-primo.hosted.exlibrisgroup.com/primo-explore/search?tab=default_tab&amp;search_scope=EVERYTHING&amp;vid=01CRU&amp;lang=en_US&amp;offset=0&amp;query=any,contains,991003921359702656","Catalog Record")</f>
        <v/>
      </c>
      <c r="AT696">
        <f>HYPERLINK("http://www.worldcat.org/oclc/49884485","WorldCat Record")</f>
        <v/>
      </c>
      <c r="AU696" t="inlineStr">
        <is>
          <t>840166758:eng</t>
        </is>
      </c>
      <c r="AV696" t="inlineStr">
        <is>
          <t>49884485</t>
        </is>
      </c>
      <c r="AW696" t="inlineStr">
        <is>
          <t>991003921359702656</t>
        </is>
      </c>
      <c r="AX696" t="inlineStr">
        <is>
          <t>991003921359702656</t>
        </is>
      </c>
      <c r="AY696" t="inlineStr">
        <is>
          <t>2268885370002656</t>
        </is>
      </c>
      <c r="AZ696" t="inlineStr">
        <is>
          <t>BOOK</t>
        </is>
      </c>
      <c r="BB696" t="inlineStr">
        <is>
          <t>9780472067893</t>
        </is>
      </c>
      <c r="BC696" t="inlineStr">
        <is>
          <t>32285004657176</t>
        </is>
      </c>
      <c r="BD696" t="inlineStr">
        <is>
          <t>893599212</t>
        </is>
      </c>
    </row>
    <row r="697">
      <c r="A697" t="inlineStr">
        <is>
          <t>No</t>
        </is>
      </c>
      <c r="B697" t="inlineStr">
        <is>
          <t>PL3771.E8 Y6</t>
        </is>
      </c>
      <c r="C697" t="inlineStr">
        <is>
          <t>0                      PL 3771000E  8                  Y  6</t>
        </is>
      </c>
      <c r="D697" t="inlineStr">
        <is>
          <t>The younger brother Don Yod; a Tibetan play translated by Thubten Jigme Norbu &amp; Robert B. Ekvall.</t>
        </is>
      </c>
      <c r="F697" t="inlineStr">
        <is>
          <t>No</t>
        </is>
      </c>
      <c r="G697" t="inlineStr">
        <is>
          <t>1</t>
        </is>
      </c>
      <c r="H697" t="inlineStr">
        <is>
          <t>No</t>
        </is>
      </c>
      <c r="I697" t="inlineStr">
        <is>
          <t>No</t>
        </is>
      </c>
      <c r="J697" t="inlineStr">
        <is>
          <t>0</t>
        </is>
      </c>
      <c r="K697" t="inlineStr">
        <is>
          <t>Gcuṅ-po Don-yod.</t>
        </is>
      </c>
      <c r="L697" t="inlineStr">
        <is>
          <t>Bloomington, Indiana University Press for International Affairs Center [c1969]</t>
        </is>
      </c>
      <c r="M697" t="inlineStr">
        <is>
          <t>1969</t>
        </is>
      </c>
      <c r="O697" t="inlineStr">
        <is>
          <t>eng</t>
        </is>
      </c>
      <c r="P697" t="inlineStr">
        <is>
          <t xml:space="preserve">xx </t>
        </is>
      </c>
      <c r="Q697" t="inlineStr">
        <is>
          <t>Asian Studies Research Institute. Oriental Series, no. 2</t>
        </is>
      </c>
      <c r="R697" t="inlineStr">
        <is>
          <t xml:space="preserve">PL </t>
        </is>
      </c>
      <c r="S697" t="n">
        <v>1</v>
      </c>
      <c r="T697" t="n">
        <v>1</v>
      </c>
      <c r="U697" t="inlineStr">
        <is>
          <t>2002-09-29</t>
        </is>
      </c>
      <c r="V697" t="inlineStr">
        <is>
          <t>2002-09-29</t>
        </is>
      </c>
      <c r="W697" t="inlineStr">
        <is>
          <t>1997-09-17</t>
        </is>
      </c>
      <c r="X697" t="inlineStr">
        <is>
          <t>1997-09-17</t>
        </is>
      </c>
      <c r="Y697" t="n">
        <v>257</v>
      </c>
      <c r="Z697" t="n">
        <v>226</v>
      </c>
      <c r="AA697" t="n">
        <v>238</v>
      </c>
      <c r="AB697" t="n">
        <v>4</v>
      </c>
      <c r="AC697" t="n">
        <v>4</v>
      </c>
      <c r="AD697" t="n">
        <v>9</v>
      </c>
      <c r="AE697" t="n">
        <v>10</v>
      </c>
      <c r="AF697" t="n">
        <v>4</v>
      </c>
      <c r="AG697" t="n">
        <v>4</v>
      </c>
      <c r="AH697" t="n">
        <v>0</v>
      </c>
      <c r="AI697" t="n">
        <v>1</v>
      </c>
      <c r="AJ697" t="n">
        <v>3</v>
      </c>
      <c r="AK697" t="n">
        <v>3</v>
      </c>
      <c r="AL697" t="n">
        <v>3</v>
      </c>
      <c r="AM697" t="n">
        <v>3</v>
      </c>
      <c r="AN697" t="n">
        <v>0</v>
      </c>
      <c r="AO697" t="n">
        <v>0</v>
      </c>
      <c r="AP697" t="inlineStr">
        <is>
          <t>No</t>
        </is>
      </c>
      <c r="AQ697" t="inlineStr">
        <is>
          <t>Yes</t>
        </is>
      </c>
      <c r="AR697">
        <f>HYPERLINK("http://catalog.hathitrust.org/Record/001194432","HathiTrust Record")</f>
        <v/>
      </c>
      <c r="AS697">
        <f>HYPERLINK("https://creighton-primo.hosted.exlibrisgroup.com/primo-explore/search?tab=default_tab&amp;search_scope=EVERYTHING&amp;vid=01CRU&amp;lang=en_US&amp;offset=0&amp;query=any,contains,991002954739702656","Catalog Record")</f>
        <v/>
      </c>
      <c r="AT697">
        <f>HYPERLINK("http://www.worldcat.org/oclc/3914857","WorldCat Record")</f>
        <v/>
      </c>
      <c r="AU697" t="inlineStr">
        <is>
          <t>13212435:eng</t>
        </is>
      </c>
      <c r="AV697" t="inlineStr">
        <is>
          <t>3914857</t>
        </is>
      </c>
      <c r="AW697" t="inlineStr">
        <is>
          <t>991002954739702656</t>
        </is>
      </c>
      <c r="AX697" t="inlineStr">
        <is>
          <t>991002954739702656</t>
        </is>
      </c>
      <c r="AY697" t="inlineStr">
        <is>
          <t>2268638420002656</t>
        </is>
      </c>
      <c r="AZ697" t="inlineStr">
        <is>
          <t>BOOK</t>
        </is>
      </c>
      <c r="BB697" t="inlineStr">
        <is>
          <t>9780253395023</t>
        </is>
      </c>
      <c r="BC697" t="inlineStr">
        <is>
          <t>32285003235412</t>
        </is>
      </c>
      <c r="BD697" t="inlineStr">
        <is>
          <t>893610518</t>
        </is>
      </c>
    </row>
    <row r="698">
      <c r="A698" t="inlineStr">
        <is>
          <t>No</t>
        </is>
      </c>
      <c r="B698" t="inlineStr">
        <is>
          <t>PL4378.6 .T86 2002</t>
        </is>
      </c>
      <c r="C698" t="inlineStr">
        <is>
          <t>0                      PL 4378600T  86          2002</t>
        </is>
      </c>
      <c r="D698" t="inlineStr">
        <is>
          <t>Two rivers : new Vietnamese writing from America and Viet Nam / Frank Stewart, editor ; Kevin Bowen, Nguyen Ba Chung, feature editors.</t>
        </is>
      </c>
      <c r="F698" t="inlineStr">
        <is>
          <t>No</t>
        </is>
      </c>
      <c r="G698" t="inlineStr">
        <is>
          <t>1</t>
        </is>
      </c>
      <c r="H698" t="inlineStr">
        <is>
          <t>No</t>
        </is>
      </c>
      <c r="I698" t="inlineStr">
        <is>
          <t>No</t>
        </is>
      </c>
      <c r="J698" t="inlineStr">
        <is>
          <t>0</t>
        </is>
      </c>
      <c r="L698" t="inlineStr">
        <is>
          <t>Honolulu : University of Hawaií Press, c2002.</t>
        </is>
      </c>
      <c r="M698" t="inlineStr">
        <is>
          <t>2002</t>
        </is>
      </c>
      <c r="O698" t="inlineStr">
        <is>
          <t>eng</t>
        </is>
      </c>
      <c r="P698" t="inlineStr">
        <is>
          <t>hiu</t>
        </is>
      </c>
      <c r="Q698" t="inlineStr">
        <is>
          <t>Mãnoa ; 14:1</t>
        </is>
      </c>
      <c r="R698" t="inlineStr">
        <is>
          <t xml:space="preserve">PL </t>
        </is>
      </c>
      <c r="S698" t="n">
        <v>1</v>
      </c>
      <c r="T698" t="n">
        <v>1</v>
      </c>
      <c r="U698" t="inlineStr">
        <is>
          <t>2010-03-05</t>
        </is>
      </c>
      <c r="V698" t="inlineStr">
        <is>
          <t>2010-03-05</t>
        </is>
      </c>
      <c r="W698" t="inlineStr">
        <is>
          <t>2007-03-13</t>
        </is>
      </c>
      <c r="X698" t="inlineStr">
        <is>
          <t>2007-03-13</t>
        </is>
      </c>
      <c r="Y698" t="n">
        <v>65</v>
      </c>
      <c r="Z698" t="n">
        <v>44</v>
      </c>
      <c r="AA698" t="n">
        <v>46</v>
      </c>
      <c r="AB698" t="n">
        <v>1</v>
      </c>
      <c r="AC698" t="n">
        <v>1</v>
      </c>
      <c r="AD698" t="n">
        <v>1</v>
      </c>
      <c r="AE698" t="n">
        <v>1</v>
      </c>
      <c r="AF698" t="n">
        <v>0</v>
      </c>
      <c r="AG698" t="n">
        <v>0</v>
      </c>
      <c r="AH698" t="n">
        <v>0</v>
      </c>
      <c r="AI698" t="n">
        <v>0</v>
      </c>
      <c r="AJ698" t="n">
        <v>1</v>
      </c>
      <c r="AK698" t="n">
        <v>1</v>
      </c>
      <c r="AL698" t="n">
        <v>0</v>
      </c>
      <c r="AM698" t="n">
        <v>0</v>
      </c>
      <c r="AN698" t="n">
        <v>0</v>
      </c>
      <c r="AO698" t="n">
        <v>0</v>
      </c>
      <c r="AP698" t="inlineStr">
        <is>
          <t>No</t>
        </is>
      </c>
      <c r="AQ698" t="inlineStr">
        <is>
          <t>Yes</t>
        </is>
      </c>
      <c r="AR698">
        <f>HYPERLINK("http://catalog.hathitrust.org/Record/003615683","HathiTrust Record")</f>
        <v/>
      </c>
      <c r="AS698">
        <f>HYPERLINK("https://creighton-primo.hosted.exlibrisgroup.com/primo-explore/search?tab=default_tab&amp;search_scope=EVERYTHING&amp;vid=01CRU&amp;lang=en_US&amp;offset=0&amp;query=any,contains,991005049259702656","Catalog Record")</f>
        <v/>
      </c>
      <c r="AT698">
        <f>HYPERLINK("http://www.worldcat.org/oclc/49964364","WorldCat Record")</f>
        <v/>
      </c>
      <c r="AU698" t="inlineStr">
        <is>
          <t>997312641:eng</t>
        </is>
      </c>
      <c r="AV698" t="inlineStr">
        <is>
          <t>49964364</t>
        </is>
      </c>
      <c r="AW698" t="inlineStr">
        <is>
          <t>991005049259702656</t>
        </is>
      </c>
      <c r="AX698" t="inlineStr">
        <is>
          <t>991005049259702656</t>
        </is>
      </c>
      <c r="AY698" t="inlineStr">
        <is>
          <t>2260961020002656</t>
        </is>
      </c>
      <c r="AZ698" t="inlineStr">
        <is>
          <t>BOOK</t>
        </is>
      </c>
      <c r="BB698" t="inlineStr">
        <is>
          <t>9780824825812</t>
        </is>
      </c>
      <c r="BC698" t="inlineStr">
        <is>
          <t>32285005281281</t>
        </is>
      </c>
      <c r="BD698" t="inlineStr">
        <is>
          <t>893501241</t>
        </is>
      </c>
    </row>
    <row r="699">
      <c r="A699" t="inlineStr">
        <is>
          <t>No</t>
        </is>
      </c>
      <c r="B699" t="inlineStr">
        <is>
          <t>PL4378.65.E5 A57 1996</t>
        </is>
      </c>
      <c r="C699" t="inlineStr">
        <is>
          <t>0                      PL 4378650E  5                  A  57          1996</t>
        </is>
      </c>
      <c r="D699" t="inlineStr">
        <is>
          <t>An anthology of Vietnamese poems : from the eleventh through the twentieth centuries / edited and translated by Huỳnh Sanh Thông.</t>
        </is>
      </c>
      <c r="F699" t="inlineStr">
        <is>
          <t>No</t>
        </is>
      </c>
      <c r="G699" t="inlineStr">
        <is>
          <t>1</t>
        </is>
      </c>
      <c r="H699" t="inlineStr">
        <is>
          <t>No</t>
        </is>
      </c>
      <c r="I699" t="inlineStr">
        <is>
          <t>No</t>
        </is>
      </c>
      <c r="J699" t="inlineStr">
        <is>
          <t>0</t>
        </is>
      </c>
      <c r="L699" t="inlineStr">
        <is>
          <t>New Haven, CT : Yale University Press, 1996.</t>
        </is>
      </c>
      <c r="M699" t="inlineStr">
        <is>
          <t>1996</t>
        </is>
      </c>
      <c r="O699" t="inlineStr">
        <is>
          <t>eng</t>
        </is>
      </c>
      <c r="P699" t="inlineStr">
        <is>
          <t>ctu</t>
        </is>
      </c>
      <c r="R699" t="inlineStr">
        <is>
          <t xml:space="preserve">PL </t>
        </is>
      </c>
      <c r="S699" t="n">
        <v>1</v>
      </c>
      <c r="T699" t="n">
        <v>1</v>
      </c>
      <c r="U699" t="inlineStr">
        <is>
          <t>1999-03-17</t>
        </is>
      </c>
      <c r="V699" t="inlineStr">
        <is>
          <t>1999-03-17</t>
        </is>
      </c>
      <c r="W699" t="inlineStr">
        <is>
          <t>1998-05-07</t>
        </is>
      </c>
      <c r="X699" t="inlineStr">
        <is>
          <t>1998-05-07</t>
        </is>
      </c>
      <c r="Y699" t="n">
        <v>618</v>
      </c>
      <c r="Z699" t="n">
        <v>555</v>
      </c>
      <c r="AA699" t="n">
        <v>555</v>
      </c>
      <c r="AB699" t="n">
        <v>3</v>
      </c>
      <c r="AC699" t="n">
        <v>3</v>
      </c>
      <c r="AD699" t="n">
        <v>25</v>
      </c>
      <c r="AE699" t="n">
        <v>25</v>
      </c>
      <c r="AF699" t="n">
        <v>10</v>
      </c>
      <c r="AG699" t="n">
        <v>10</v>
      </c>
      <c r="AH699" t="n">
        <v>5</v>
      </c>
      <c r="AI699" t="n">
        <v>5</v>
      </c>
      <c r="AJ699" t="n">
        <v>14</v>
      </c>
      <c r="AK699" t="n">
        <v>14</v>
      </c>
      <c r="AL699" t="n">
        <v>1</v>
      </c>
      <c r="AM699" t="n">
        <v>1</v>
      </c>
      <c r="AN699" t="n">
        <v>0</v>
      </c>
      <c r="AO699" t="n">
        <v>0</v>
      </c>
      <c r="AP699" t="inlineStr">
        <is>
          <t>No</t>
        </is>
      </c>
      <c r="AQ699" t="inlineStr">
        <is>
          <t>No</t>
        </is>
      </c>
      <c r="AS699">
        <f>HYPERLINK("https://creighton-primo.hosted.exlibrisgroup.com/primo-explore/search?tab=default_tab&amp;search_scope=EVERYTHING&amp;vid=01CRU&amp;lang=en_US&amp;offset=0&amp;query=any,contains,991002539629702656","Catalog Record")</f>
        <v/>
      </c>
      <c r="AT699">
        <f>HYPERLINK("http://www.worldcat.org/oclc/33009028","WorldCat Record")</f>
        <v/>
      </c>
      <c r="AU699" t="inlineStr">
        <is>
          <t>438717976:eng</t>
        </is>
      </c>
      <c r="AV699" t="inlineStr">
        <is>
          <t>33009028</t>
        </is>
      </c>
      <c r="AW699" t="inlineStr">
        <is>
          <t>991002539629702656</t>
        </is>
      </c>
      <c r="AX699" t="inlineStr">
        <is>
          <t>991002539629702656</t>
        </is>
      </c>
      <c r="AY699" t="inlineStr">
        <is>
          <t>2258419090002656</t>
        </is>
      </c>
      <c r="AZ699" t="inlineStr">
        <is>
          <t>BOOK</t>
        </is>
      </c>
      <c r="BB699" t="inlineStr">
        <is>
          <t>9780300064100</t>
        </is>
      </c>
      <c r="BC699" t="inlineStr">
        <is>
          <t>32285003406898</t>
        </is>
      </c>
      <c r="BD699" t="inlineStr">
        <is>
          <t>893510871</t>
        </is>
      </c>
    </row>
    <row r="700">
      <c r="A700" t="inlineStr">
        <is>
          <t>No</t>
        </is>
      </c>
      <c r="B700" t="inlineStr">
        <is>
          <t>PL4378.9.D759 A213 2002</t>
        </is>
      </c>
      <c r="C700" t="inlineStr">
        <is>
          <t>0                      PL 4378900D  759                A  213         2002</t>
        </is>
      </c>
      <c r="D700" t="inlineStr">
        <is>
          <t>Beyond illusions / Duong Thu Huong ; translated from the Vietnamese by Nina McPherson and Phan Huy Duong.</t>
        </is>
      </c>
      <c r="F700" t="inlineStr">
        <is>
          <t>No</t>
        </is>
      </c>
      <c r="G700" t="inlineStr">
        <is>
          <t>1</t>
        </is>
      </c>
      <c r="H700" t="inlineStr">
        <is>
          <t>No</t>
        </is>
      </c>
      <c r="I700" t="inlineStr">
        <is>
          <t>No</t>
        </is>
      </c>
      <c r="J700" t="inlineStr">
        <is>
          <t>0</t>
        </is>
      </c>
      <c r="K700" t="inlineStr">
        <is>
          <t>Dương, Thu Hương.</t>
        </is>
      </c>
      <c r="L700" t="inlineStr">
        <is>
          <t>New York : Hyperion East, c2002.</t>
        </is>
      </c>
      <c r="M700" t="inlineStr">
        <is>
          <t>2002</t>
        </is>
      </c>
      <c r="N700" t="inlineStr">
        <is>
          <t>1st ed.</t>
        </is>
      </c>
      <c r="O700" t="inlineStr">
        <is>
          <t>eng</t>
        </is>
      </c>
      <c r="P700" t="inlineStr">
        <is>
          <t>nyu</t>
        </is>
      </c>
      <c r="R700" t="inlineStr">
        <is>
          <t xml:space="preserve">PL </t>
        </is>
      </c>
      <c r="S700" t="n">
        <v>2</v>
      </c>
      <c r="T700" t="n">
        <v>2</v>
      </c>
      <c r="U700" t="inlineStr">
        <is>
          <t>2002-02-11</t>
        </is>
      </c>
      <c r="V700" t="inlineStr">
        <is>
          <t>2002-02-11</t>
        </is>
      </c>
      <c r="W700" t="inlineStr">
        <is>
          <t>2002-02-11</t>
        </is>
      </c>
      <c r="X700" t="inlineStr">
        <is>
          <t>2002-02-11</t>
        </is>
      </c>
      <c r="Y700" t="n">
        <v>352</v>
      </c>
      <c r="Z700" t="n">
        <v>320</v>
      </c>
      <c r="AA700" t="n">
        <v>329</v>
      </c>
      <c r="AB700" t="n">
        <v>3</v>
      </c>
      <c r="AC700" t="n">
        <v>3</v>
      </c>
      <c r="AD700" t="n">
        <v>12</v>
      </c>
      <c r="AE700" t="n">
        <v>12</v>
      </c>
      <c r="AF700" t="n">
        <v>3</v>
      </c>
      <c r="AG700" t="n">
        <v>3</v>
      </c>
      <c r="AH700" t="n">
        <v>4</v>
      </c>
      <c r="AI700" t="n">
        <v>4</v>
      </c>
      <c r="AJ700" t="n">
        <v>5</v>
      </c>
      <c r="AK700" t="n">
        <v>5</v>
      </c>
      <c r="AL700" t="n">
        <v>2</v>
      </c>
      <c r="AM700" t="n">
        <v>2</v>
      </c>
      <c r="AN700" t="n">
        <v>0</v>
      </c>
      <c r="AO700" t="n">
        <v>0</v>
      </c>
      <c r="AP700" t="inlineStr">
        <is>
          <t>No</t>
        </is>
      </c>
      <c r="AQ700" t="inlineStr">
        <is>
          <t>Yes</t>
        </is>
      </c>
      <c r="AR700">
        <f>HYPERLINK("http://catalog.hathitrust.org/Record/004219626","HathiTrust Record")</f>
        <v/>
      </c>
      <c r="AS700">
        <f>HYPERLINK("https://creighton-primo.hosted.exlibrisgroup.com/primo-explore/search?tab=default_tab&amp;search_scope=EVERYTHING&amp;vid=01CRU&amp;lang=en_US&amp;offset=0&amp;query=any,contains,991003719949702656","Catalog Record")</f>
        <v/>
      </c>
      <c r="AT700">
        <f>HYPERLINK("http://www.worldcat.org/oclc/48013832","WorldCat Record")</f>
        <v/>
      </c>
      <c r="AU700" t="inlineStr">
        <is>
          <t>2260944099:eng</t>
        </is>
      </c>
      <c r="AV700" t="inlineStr">
        <is>
          <t>48013832</t>
        </is>
      </c>
      <c r="AW700" t="inlineStr">
        <is>
          <t>991003719949702656</t>
        </is>
      </c>
      <c r="AX700" t="inlineStr">
        <is>
          <t>991003719949702656</t>
        </is>
      </c>
      <c r="AY700" t="inlineStr">
        <is>
          <t>2272193470002656</t>
        </is>
      </c>
      <c r="AZ700" t="inlineStr">
        <is>
          <t>BOOK</t>
        </is>
      </c>
      <c r="BB700" t="inlineStr">
        <is>
          <t>9780786864171</t>
        </is>
      </c>
      <c r="BC700" t="inlineStr">
        <is>
          <t>32285004453345</t>
        </is>
      </c>
      <c r="BD700" t="inlineStr">
        <is>
          <t>893445801</t>
        </is>
      </c>
    </row>
    <row r="701">
      <c r="A701" t="inlineStr">
        <is>
          <t>No</t>
        </is>
      </c>
      <c r="B701" t="inlineStr">
        <is>
          <t>PL4378.9.D759 N4813 1994</t>
        </is>
      </c>
      <c r="C701" t="inlineStr">
        <is>
          <t>0                      PL 4378900D  759                N  4813        1994</t>
        </is>
      </c>
      <c r="D701" t="inlineStr">
        <is>
          <t>Paradise of the blind / Duong Thu Huong ; translated from the Vietnamese by Phan Huy Duong and Nina McPherson.</t>
        </is>
      </c>
      <c r="F701" t="inlineStr">
        <is>
          <t>No</t>
        </is>
      </c>
      <c r="G701" t="inlineStr">
        <is>
          <t>1</t>
        </is>
      </c>
      <c r="H701" t="inlineStr">
        <is>
          <t>No</t>
        </is>
      </c>
      <c r="I701" t="inlineStr">
        <is>
          <t>No</t>
        </is>
      </c>
      <c r="J701" t="inlineStr">
        <is>
          <t>0</t>
        </is>
      </c>
      <c r="K701" t="inlineStr">
        <is>
          <t>Dương, Thu Hương.</t>
        </is>
      </c>
      <c r="L701" t="inlineStr">
        <is>
          <t>New York : Penguin, 1994, c1993.</t>
        </is>
      </c>
      <c r="M701" t="inlineStr">
        <is>
          <t>1994</t>
        </is>
      </c>
      <c r="O701" t="inlineStr">
        <is>
          <t>eng</t>
        </is>
      </c>
      <c r="P701" t="inlineStr">
        <is>
          <t>nyu</t>
        </is>
      </c>
      <c r="R701" t="inlineStr">
        <is>
          <t xml:space="preserve">PL </t>
        </is>
      </c>
      <c r="S701" t="n">
        <v>4</v>
      </c>
      <c r="T701" t="n">
        <v>4</v>
      </c>
      <c r="U701" t="inlineStr">
        <is>
          <t>2005-02-05</t>
        </is>
      </c>
      <c r="V701" t="inlineStr">
        <is>
          <t>2005-02-05</t>
        </is>
      </c>
      <c r="W701" t="inlineStr">
        <is>
          <t>1996-03-18</t>
        </is>
      </c>
      <c r="X701" t="inlineStr">
        <is>
          <t>1996-03-18</t>
        </is>
      </c>
      <c r="Y701" t="n">
        <v>209</v>
      </c>
      <c r="Z701" t="n">
        <v>191</v>
      </c>
      <c r="AA701" t="n">
        <v>929</v>
      </c>
      <c r="AB701" t="n">
        <v>3</v>
      </c>
      <c r="AC701" t="n">
        <v>10</v>
      </c>
      <c r="AD701" t="n">
        <v>10</v>
      </c>
      <c r="AE701" t="n">
        <v>37</v>
      </c>
      <c r="AF701" t="n">
        <v>5</v>
      </c>
      <c r="AG701" t="n">
        <v>15</v>
      </c>
      <c r="AH701" t="n">
        <v>1</v>
      </c>
      <c r="AI701" t="n">
        <v>6</v>
      </c>
      <c r="AJ701" t="n">
        <v>6</v>
      </c>
      <c r="AK701" t="n">
        <v>18</v>
      </c>
      <c r="AL701" t="n">
        <v>2</v>
      </c>
      <c r="AM701" t="n">
        <v>6</v>
      </c>
      <c r="AN701" t="n">
        <v>0</v>
      </c>
      <c r="AO701" t="n">
        <v>0</v>
      </c>
      <c r="AP701" t="inlineStr">
        <is>
          <t>No</t>
        </is>
      </c>
      <c r="AQ701" t="inlineStr">
        <is>
          <t>Yes</t>
        </is>
      </c>
      <c r="AR701">
        <f>HYPERLINK("http://catalog.hathitrust.org/Record/002899012","HathiTrust Record")</f>
        <v/>
      </c>
      <c r="AS701">
        <f>HYPERLINK("https://creighton-primo.hosted.exlibrisgroup.com/primo-explore/search?tab=default_tab&amp;search_scope=EVERYTHING&amp;vid=01CRU&amp;lang=en_US&amp;offset=0&amp;query=any,contains,991002385009702656","Catalog Record")</f>
        <v/>
      </c>
      <c r="AT701">
        <f>HYPERLINK("http://www.worldcat.org/oclc/30983601","WorldCat Record")</f>
        <v/>
      </c>
      <c r="AU701" t="inlineStr">
        <is>
          <t>2218786793:eng</t>
        </is>
      </c>
      <c r="AV701" t="inlineStr">
        <is>
          <t>30983601</t>
        </is>
      </c>
      <c r="AW701" t="inlineStr">
        <is>
          <t>991002385009702656</t>
        </is>
      </c>
      <c r="AX701" t="inlineStr">
        <is>
          <t>991002385009702656</t>
        </is>
      </c>
      <c r="AY701" t="inlineStr">
        <is>
          <t>2261193200002656</t>
        </is>
      </c>
      <c r="AZ701" t="inlineStr">
        <is>
          <t>BOOK</t>
        </is>
      </c>
      <c r="BB701" t="inlineStr">
        <is>
          <t>9780140236200</t>
        </is>
      </c>
      <c r="BC701" t="inlineStr">
        <is>
          <t>32285002144078</t>
        </is>
      </c>
      <c r="BD701" t="inlineStr">
        <is>
          <t>893352301</t>
        </is>
      </c>
    </row>
    <row r="702">
      <c r="A702" t="inlineStr">
        <is>
          <t>No</t>
        </is>
      </c>
      <c r="B702" t="inlineStr">
        <is>
          <t>PL4378.9.N5 T713 1983</t>
        </is>
      </c>
      <c r="C702" t="inlineStr">
        <is>
          <t>0                      PL 4378900N  5                  T  713         1983</t>
        </is>
      </c>
      <c r="D702" t="inlineStr">
        <is>
          <t>The tale of Kiè̂u : a bilingual edition of Truyện Kiè̂u / Nguyẽ̂n Du ; translated and annotated by Huỳnh Sanh Thông, with a historical essay by Alexander B. Woodside.</t>
        </is>
      </c>
      <c r="F702" t="inlineStr">
        <is>
          <t>No</t>
        </is>
      </c>
      <c r="G702" t="inlineStr">
        <is>
          <t>1</t>
        </is>
      </c>
      <c r="H702" t="inlineStr">
        <is>
          <t>No</t>
        </is>
      </c>
      <c r="I702" t="inlineStr">
        <is>
          <t>No</t>
        </is>
      </c>
      <c r="J702" t="inlineStr">
        <is>
          <t>0</t>
        </is>
      </c>
      <c r="K702" t="inlineStr">
        <is>
          <t>Nguyễn, Du, 1765-1820.</t>
        </is>
      </c>
      <c r="L702" t="inlineStr">
        <is>
          <t>New Haven, [Conn.] : Yale University Press, c1983.</t>
        </is>
      </c>
      <c r="M702" t="inlineStr">
        <is>
          <t>1983</t>
        </is>
      </c>
      <c r="O702" t="inlineStr">
        <is>
          <t>eng</t>
        </is>
      </c>
      <c r="P702" t="inlineStr">
        <is>
          <t>ctu</t>
        </is>
      </c>
      <c r="R702" t="inlineStr">
        <is>
          <t xml:space="preserve">PL </t>
        </is>
      </c>
      <c r="S702" t="n">
        <v>6</v>
      </c>
      <c r="T702" t="n">
        <v>6</v>
      </c>
      <c r="U702" t="inlineStr">
        <is>
          <t>2006-09-05</t>
        </is>
      </c>
      <c r="V702" t="inlineStr">
        <is>
          <t>2006-09-05</t>
        </is>
      </c>
      <c r="W702" t="inlineStr">
        <is>
          <t>1998-05-07</t>
        </is>
      </c>
      <c r="X702" t="inlineStr">
        <is>
          <t>1998-05-07</t>
        </is>
      </c>
      <c r="Y702" t="n">
        <v>361</v>
      </c>
      <c r="Z702" t="n">
        <v>306</v>
      </c>
      <c r="AA702" t="n">
        <v>349</v>
      </c>
      <c r="AB702" t="n">
        <v>2</v>
      </c>
      <c r="AC702" t="n">
        <v>2</v>
      </c>
      <c r="AD702" t="n">
        <v>13</v>
      </c>
      <c r="AE702" t="n">
        <v>14</v>
      </c>
      <c r="AF702" t="n">
        <v>5</v>
      </c>
      <c r="AG702" t="n">
        <v>6</v>
      </c>
      <c r="AH702" t="n">
        <v>3</v>
      </c>
      <c r="AI702" t="n">
        <v>3</v>
      </c>
      <c r="AJ702" t="n">
        <v>8</v>
      </c>
      <c r="AK702" t="n">
        <v>8</v>
      </c>
      <c r="AL702" t="n">
        <v>1</v>
      </c>
      <c r="AM702" t="n">
        <v>1</v>
      </c>
      <c r="AN702" t="n">
        <v>0</v>
      </c>
      <c r="AO702" t="n">
        <v>0</v>
      </c>
      <c r="AP702" t="inlineStr">
        <is>
          <t>No</t>
        </is>
      </c>
      <c r="AQ702" t="inlineStr">
        <is>
          <t>No</t>
        </is>
      </c>
      <c r="AS702">
        <f>HYPERLINK("https://creighton-primo.hosted.exlibrisgroup.com/primo-explore/search?tab=default_tab&amp;search_scope=EVERYTHING&amp;vid=01CRU&amp;lang=en_US&amp;offset=0&amp;query=any,contains,991000044869702656","Catalog Record")</f>
        <v/>
      </c>
      <c r="AT702">
        <f>HYPERLINK("http://www.worldcat.org/oclc/8667872","WorldCat Record")</f>
        <v/>
      </c>
      <c r="AU702" t="inlineStr">
        <is>
          <t>3857973112:eng</t>
        </is>
      </c>
      <c r="AV702" t="inlineStr">
        <is>
          <t>8667872</t>
        </is>
      </c>
      <c r="AW702" t="inlineStr">
        <is>
          <t>991000044869702656</t>
        </is>
      </c>
      <c r="AX702" t="inlineStr">
        <is>
          <t>991000044869702656</t>
        </is>
      </c>
      <c r="AY702" t="inlineStr">
        <is>
          <t>2270050710002656</t>
        </is>
      </c>
      <c r="AZ702" t="inlineStr">
        <is>
          <t>BOOK</t>
        </is>
      </c>
      <c r="BB702" t="inlineStr">
        <is>
          <t>9780300028737</t>
        </is>
      </c>
      <c r="BC702" t="inlineStr">
        <is>
          <t>32285003406906</t>
        </is>
      </c>
      <c r="BD702" t="inlineStr">
        <is>
          <t>893237025</t>
        </is>
      </c>
    </row>
    <row r="703">
      <c r="A703" t="inlineStr">
        <is>
          <t>No</t>
        </is>
      </c>
      <c r="B703" t="inlineStr">
        <is>
          <t>PL4758.9.R2595 R34 1993</t>
        </is>
      </c>
      <c r="C703" t="inlineStr">
        <is>
          <t>0                      PL 4758900R  2595               R  34          1993</t>
        </is>
      </c>
      <c r="D703" t="inlineStr">
        <is>
          <t>Ramayana / C. Rajagopalachari.</t>
        </is>
      </c>
      <c r="F703" t="inlineStr">
        <is>
          <t>No</t>
        </is>
      </c>
      <c r="G703" t="inlineStr">
        <is>
          <t>1</t>
        </is>
      </c>
      <c r="H703" t="inlineStr">
        <is>
          <t>No</t>
        </is>
      </c>
      <c r="I703" t="inlineStr">
        <is>
          <t>No</t>
        </is>
      </c>
      <c r="J703" t="inlineStr">
        <is>
          <t>0</t>
        </is>
      </c>
      <c r="K703" t="inlineStr">
        <is>
          <t>Rajagopalachari, C. (Chakravarti), 1878-1972.</t>
        </is>
      </c>
      <c r="L703" t="inlineStr">
        <is>
          <t>Bombay : Bharatiya Vidya Bhavan, 1993.</t>
        </is>
      </c>
      <c r="M703" t="inlineStr">
        <is>
          <t>1993</t>
        </is>
      </c>
      <c r="N703" t="inlineStr">
        <is>
          <t>28th ed.</t>
        </is>
      </c>
      <c r="O703" t="inlineStr">
        <is>
          <t>eng</t>
        </is>
      </c>
      <c r="P703" t="inlineStr">
        <is>
          <t xml:space="preserve">ii </t>
        </is>
      </c>
      <c r="Q703" t="inlineStr">
        <is>
          <t>Bhavan's book university ; 44</t>
        </is>
      </c>
      <c r="R703" t="inlineStr">
        <is>
          <t xml:space="preserve">PL </t>
        </is>
      </c>
      <c r="S703" t="n">
        <v>7</v>
      </c>
      <c r="T703" t="n">
        <v>7</v>
      </c>
      <c r="U703" t="inlineStr">
        <is>
          <t>2007-04-27</t>
        </is>
      </c>
      <c r="V703" t="inlineStr">
        <is>
          <t>2007-04-27</t>
        </is>
      </c>
      <c r="W703" t="inlineStr">
        <is>
          <t>1997-05-29</t>
        </is>
      </c>
      <c r="X703" t="inlineStr">
        <is>
          <t>1997-05-29</t>
        </is>
      </c>
      <c r="Y703" t="n">
        <v>3</v>
      </c>
      <c r="Z703" t="n">
        <v>3</v>
      </c>
      <c r="AA703" t="n">
        <v>247</v>
      </c>
      <c r="AB703" t="n">
        <v>1</v>
      </c>
      <c r="AC703" t="n">
        <v>2</v>
      </c>
      <c r="AD703" t="n">
        <v>0</v>
      </c>
      <c r="AE703" t="n">
        <v>7</v>
      </c>
      <c r="AF703" t="n">
        <v>0</v>
      </c>
      <c r="AG703" t="n">
        <v>2</v>
      </c>
      <c r="AH703" t="n">
        <v>0</v>
      </c>
      <c r="AI703" t="n">
        <v>3</v>
      </c>
      <c r="AJ703" t="n">
        <v>0</v>
      </c>
      <c r="AK703" t="n">
        <v>4</v>
      </c>
      <c r="AL703" t="n">
        <v>0</v>
      </c>
      <c r="AM703" t="n">
        <v>1</v>
      </c>
      <c r="AN703" t="n">
        <v>0</v>
      </c>
      <c r="AO703" t="n">
        <v>0</v>
      </c>
      <c r="AP703" t="inlineStr">
        <is>
          <t>No</t>
        </is>
      </c>
      <c r="AQ703" t="inlineStr">
        <is>
          <t>No</t>
        </is>
      </c>
      <c r="AS703">
        <f>HYPERLINK("https://creighton-primo.hosted.exlibrisgroup.com/primo-explore/search?tab=default_tab&amp;search_scope=EVERYTHING&amp;vid=01CRU&amp;lang=en_US&amp;offset=0&amp;query=any,contains,991002551319702656","Catalog Record")</f>
        <v/>
      </c>
      <c r="AT703">
        <f>HYPERLINK("http://www.worldcat.org/oclc/33156146","WorldCat Record")</f>
        <v/>
      </c>
      <c r="AU703" t="inlineStr">
        <is>
          <t>10252898803:eng</t>
        </is>
      </c>
      <c r="AV703" t="inlineStr">
        <is>
          <t>33156146</t>
        </is>
      </c>
      <c r="AW703" t="inlineStr">
        <is>
          <t>991002551319702656</t>
        </is>
      </c>
      <c r="AX703" t="inlineStr">
        <is>
          <t>991002551319702656</t>
        </is>
      </c>
      <c r="AY703" t="inlineStr">
        <is>
          <t>2256306150002656</t>
        </is>
      </c>
      <c r="AZ703" t="inlineStr">
        <is>
          <t>BOOK</t>
        </is>
      </c>
      <c r="BC703" t="inlineStr">
        <is>
          <t>32285002612470</t>
        </is>
      </c>
      <c r="BD703" t="inlineStr">
        <is>
          <t>893622418</t>
        </is>
      </c>
    </row>
    <row r="704">
      <c r="A704" t="inlineStr">
        <is>
          <t>No</t>
        </is>
      </c>
      <c r="B704" t="inlineStr">
        <is>
          <t>PL493 .C55 2003</t>
        </is>
      </c>
      <c r="C704" t="inlineStr">
        <is>
          <t>0                      PL 0493000C  55          2003</t>
        </is>
      </c>
      <c r="D704" t="inlineStr">
        <is>
          <t>The Columbia Companion to modern East Asian literature / general editor, Joshua S. Mostow ; associate editors, Kirk A. Denton, Bruce Fulton, Sharalyn Orbaugh.</t>
        </is>
      </c>
      <c r="F704" t="inlineStr">
        <is>
          <t>No</t>
        </is>
      </c>
      <c r="G704" t="inlineStr">
        <is>
          <t>1</t>
        </is>
      </c>
      <c r="H704" t="inlineStr">
        <is>
          <t>No</t>
        </is>
      </c>
      <c r="I704" t="inlineStr">
        <is>
          <t>No</t>
        </is>
      </c>
      <c r="J704" t="inlineStr">
        <is>
          <t>0</t>
        </is>
      </c>
      <c r="L704" t="inlineStr">
        <is>
          <t>New York : Columbia University Press, c2003.</t>
        </is>
      </c>
      <c r="M704" t="inlineStr">
        <is>
          <t>2003</t>
        </is>
      </c>
      <c r="O704" t="inlineStr">
        <is>
          <t>eng</t>
        </is>
      </c>
      <c r="P704" t="inlineStr">
        <is>
          <t>nyu</t>
        </is>
      </c>
      <c r="R704" t="inlineStr">
        <is>
          <t xml:space="preserve">PL </t>
        </is>
      </c>
      <c r="S704" t="n">
        <v>1</v>
      </c>
      <c r="T704" t="n">
        <v>1</v>
      </c>
      <c r="U704" t="inlineStr">
        <is>
          <t>2005-09-06</t>
        </is>
      </c>
      <c r="V704" t="inlineStr">
        <is>
          <t>2005-09-06</t>
        </is>
      </c>
      <c r="W704" t="inlineStr">
        <is>
          <t>2005-09-06</t>
        </is>
      </c>
      <c r="X704" t="inlineStr">
        <is>
          <t>2005-09-06</t>
        </is>
      </c>
      <c r="Y704" t="n">
        <v>616</v>
      </c>
      <c r="Z704" t="n">
        <v>534</v>
      </c>
      <c r="AA704" t="n">
        <v>1227</v>
      </c>
      <c r="AB704" t="n">
        <v>1</v>
      </c>
      <c r="AC704" t="n">
        <v>27</v>
      </c>
      <c r="AD704" t="n">
        <v>20</v>
      </c>
      <c r="AE704" t="n">
        <v>50</v>
      </c>
      <c r="AF704" t="n">
        <v>10</v>
      </c>
      <c r="AG704" t="n">
        <v>21</v>
      </c>
      <c r="AH704" t="n">
        <v>4</v>
      </c>
      <c r="AI704" t="n">
        <v>9</v>
      </c>
      <c r="AJ704" t="n">
        <v>11</v>
      </c>
      <c r="AK704" t="n">
        <v>18</v>
      </c>
      <c r="AL704" t="n">
        <v>0</v>
      </c>
      <c r="AM704" t="n">
        <v>12</v>
      </c>
      <c r="AN704" t="n">
        <v>0</v>
      </c>
      <c r="AO704" t="n">
        <v>1</v>
      </c>
      <c r="AP704" t="inlineStr">
        <is>
          <t>No</t>
        </is>
      </c>
      <c r="AQ704" t="inlineStr">
        <is>
          <t>No</t>
        </is>
      </c>
      <c r="AS704">
        <f>HYPERLINK("https://creighton-primo.hosted.exlibrisgroup.com/primo-explore/search?tab=default_tab&amp;search_scope=EVERYTHING&amp;vid=01CRU&amp;lang=en_US&amp;offset=0&amp;query=any,contains,991004630879702656","Catalog Record")</f>
        <v/>
      </c>
      <c r="AT704">
        <f>HYPERLINK("http://www.worldcat.org/oclc/50773524","WorldCat Record")</f>
        <v/>
      </c>
      <c r="AU704" t="inlineStr">
        <is>
          <t>1074661669:eng</t>
        </is>
      </c>
      <c r="AV704" t="inlineStr">
        <is>
          <t>50773524</t>
        </is>
      </c>
      <c r="AW704" t="inlineStr">
        <is>
          <t>991004630879702656</t>
        </is>
      </c>
      <c r="AX704" t="inlineStr">
        <is>
          <t>991004630879702656</t>
        </is>
      </c>
      <c r="AY704" t="inlineStr">
        <is>
          <t>2263175570002656</t>
        </is>
      </c>
      <c r="AZ704" t="inlineStr">
        <is>
          <t>BOOK</t>
        </is>
      </c>
      <c r="BB704" t="inlineStr">
        <is>
          <t>9780231113144</t>
        </is>
      </c>
      <c r="BC704" t="inlineStr">
        <is>
          <t>32285005083000</t>
        </is>
      </c>
      <c r="BD704" t="inlineStr">
        <is>
          <t>893235729</t>
        </is>
      </c>
    </row>
    <row r="705">
      <c r="A705" t="inlineStr">
        <is>
          <t>No</t>
        </is>
      </c>
      <c r="B705" t="inlineStr">
        <is>
          <t>PL5107 .H3 1992</t>
        </is>
      </c>
      <c r="C705" t="inlineStr">
        <is>
          <t>0                      PL 5107000H  3           1992</t>
        </is>
      </c>
      <c r="D705" t="inlineStr">
        <is>
          <t>Malay made easy / A. W. Hamilton.</t>
        </is>
      </c>
      <c r="F705" t="inlineStr">
        <is>
          <t>No</t>
        </is>
      </c>
      <c r="G705" t="inlineStr">
        <is>
          <t>1</t>
        </is>
      </c>
      <c r="H705" t="inlineStr">
        <is>
          <t>No</t>
        </is>
      </c>
      <c r="I705" t="inlineStr">
        <is>
          <t>No</t>
        </is>
      </c>
      <c r="J705" t="inlineStr">
        <is>
          <t>0</t>
        </is>
      </c>
      <c r="K705" t="inlineStr">
        <is>
          <t>Hamilton, A. W. (Arthur Wedderburn)</t>
        </is>
      </c>
      <c r="L705" t="inlineStr">
        <is>
          <t>New York : Hippocrene Books, 1992.</t>
        </is>
      </c>
      <c r="M705" t="inlineStr">
        <is>
          <t>1992</t>
        </is>
      </c>
      <c r="O705" t="inlineStr">
        <is>
          <t>may</t>
        </is>
      </c>
      <c r="P705" t="inlineStr">
        <is>
          <t xml:space="preserve">my </t>
        </is>
      </c>
      <c r="R705" t="inlineStr">
        <is>
          <t xml:space="preserve">PL </t>
        </is>
      </c>
      <c r="S705" t="n">
        <v>4</v>
      </c>
      <c r="T705" t="n">
        <v>4</v>
      </c>
      <c r="U705" t="inlineStr">
        <is>
          <t>1998-07-15</t>
        </is>
      </c>
      <c r="V705" t="inlineStr">
        <is>
          <t>1998-07-15</t>
        </is>
      </c>
      <c r="W705" t="inlineStr">
        <is>
          <t>1993-09-28</t>
        </is>
      </c>
      <c r="X705" t="inlineStr">
        <is>
          <t>1993-09-28</t>
        </is>
      </c>
      <c r="Y705" t="n">
        <v>21</v>
      </c>
      <c r="Z705" t="n">
        <v>19</v>
      </c>
      <c r="AA705" t="n">
        <v>28</v>
      </c>
      <c r="AB705" t="n">
        <v>1</v>
      </c>
      <c r="AC705" t="n">
        <v>1</v>
      </c>
      <c r="AD705" t="n">
        <v>1</v>
      </c>
      <c r="AE705" t="n">
        <v>1</v>
      </c>
      <c r="AF705" t="n">
        <v>0</v>
      </c>
      <c r="AG705" t="n">
        <v>0</v>
      </c>
      <c r="AH705" t="n">
        <v>0</v>
      </c>
      <c r="AI705" t="n">
        <v>0</v>
      </c>
      <c r="AJ705" t="n">
        <v>1</v>
      </c>
      <c r="AK705" t="n">
        <v>1</v>
      </c>
      <c r="AL705" t="n">
        <v>0</v>
      </c>
      <c r="AM705" t="n">
        <v>0</v>
      </c>
      <c r="AN705" t="n">
        <v>0</v>
      </c>
      <c r="AO705" t="n">
        <v>0</v>
      </c>
      <c r="AP705" t="inlineStr">
        <is>
          <t>No</t>
        </is>
      </c>
      <c r="AQ705" t="inlineStr">
        <is>
          <t>No</t>
        </is>
      </c>
      <c r="AS705">
        <f>HYPERLINK("https://creighton-primo.hosted.exlibrisgroup.com/primo-explore/search?tab=default_tab&amp;search_scope=EVERYTHING&amp;vid=01CRU&amp;lang=en_US&amp;offset=0&amp;query=any,contains,991002075639702656","Catalog Record")</f>
        <v/>
      </c>
      <c r="AT705">
        <f>HYPERLINK("http://www.worldcat.org/oclc/26604695","WorldCat Record")</f>
        <v/>
      </c>
      <c r="AU705" t="inlineStr">
        <is>
          <t>3802442828:may</t>
        </is>
      </c>
      <c r="AV705" t="inlineStr">
        <is>
          <t>26604695</t>
        </is>
      </c>
      <c r="AW705" t="inlineStr">
        <is>
          <t>991002075639702656</t>
        </is>
      </c>
      <c r="AX705" t="inlineStr">
        <is>
          <t>991002075639702656</t>
        </is>
      </c>
      <c r="AY705" t="inlineStr">
        <is>
          <t>2271565680002656</t>
        </is>
      </c>
      <c r="AZ705" t="inlineStr">
        <is>
          <t>BOOK</t>
        </is>
      </c>
      <c r="BB705" t="inlineStr">
        <is>
          <t>9780781800228</t>
        </is>
      </c>
      <c r="BC705" t="inlineStr">
        <is>
          <t>32285001767820</t>
        </is>
      </c>
      <c r="BD705" t="inlineStr">
        <is>
          <t>893414787</t>
        </is>
      </c>
    </row>
    <row r="706">
      <c r="A706" t="inlineStr">
        <is>
          <t>No</t>
        </is>
      </c>
      <c r="B706" t="inlineStr">
        <is>
          <t>PL523.S9 E5</t>
        </is>
      </c>
      <c r="C706" t="inlineStr">
        <is>
          <t>0                      PL 0523000S  9                  E  5</t>
        </is>
      </c>
      <c r="D706" t="inlineStr">
        <is>
          <t>Japanese and the Japanese : words in culture / Takao Suzuki ; translated by Akira Miura.</t>
        </is>
      </c>
      <c r="F706" t="inlineStr">
        <is>
          <t>No</t>
        </is>
      </c>
      <c r="G706" t="inlineStr">
        <is>
          <t>1</t>
        </is>
      </c>
      <c r="H706" t="inlineStr">
        <is>
          <t>No</t>
        </is>
      </c>
      <c r="I706" t="inlineStr">
        <is>
          <t>No</t>
        </is>
      </c>
      <c r="J706" t="inlineStr">
        <is>
          <t>0</t>
        </is>
      </c>
      <c r="K706" t="inlineStr">
        <is>
          <t>Suzuki, Takao, 1926-</t>
        </is>
      </c>
      <c r="L706" t="inlineStr">
        <is>
          <t>Tokyo ; New York : Kodansha International, 1978.</t>
        </is>
      </c>
      <c r="M706" t="inlineStr">
        <is>
          <t>1978</t>
        </is>
      </c>
      <c r="N706" t="inlineStr">
        <is>
          <t>1st ed.</t>
        </is>
      </c>
      <c r="O706" t="inlineStr">
        <is>
          <t>eng</t>
        </is>
      </c>
      <c r="P706" t="inlineStr">
        <is>
          <t xml:space="preserve">ja </t>
        </is>
      </c>
      <c r="R706" t="inlineStr">
        <is>
          <t xml:space="preserve">PL </t>
        </is>
      </c>
      <c r="S706" t="n">
        <v>3</v>
      </c>
      <c r="T706" t="n">
        <v>3</v>
      </c>
      <c r="U706" t="inlineStr">
        <is>
          <t>2000-05-19</t>
        </is>
      </c>
      <c r="V706" t="inlineStr">
        <is>
          <t>2000-05-19</t>
        </is>
      </c>
      <c r="W706" t="inlineStr">
        <is>
          <t>1990-06-18</t>
        </is>
      </c>
      <c r="X706" t="inlineStr">
        <is>
          <t>1990-06-18</t>
        </is>
      </c>
      <c r="Y706" t="n">
        <v>164</v>
      </c>
      <c r="Z706" t="n">
        <v>144</v>
      </c>
      <c r="AA706" t="n">
        <v>411</v>
      </c>
      <c r="AB706" t="n">
        <v>2</v>
      </c>
      <c r="AC706" t="n">
        <v>3</v>
      </c>
      <c r="AD706" t="n">
        <v>6</v>
      </c>
      <c r="AE706" t="n">
        <v>11</v>
      </c>
      <c r="AF706" t="n">
        <v>0</v>
      </c>
      <c r="AG706" t="n">
        <v>2</v>
      </c>
      <c r="AH706" t="n">
        <v>3</v>
      </c>
      <c r="AI706" t="n">
        <v>4</v>
      </c>
      <c r="AJ706" t="n">
        <v>3</v>
      </c>
      <c r="AK706" t="n">
        <v>7</v>
      </c>
      <c r="AL706" t="n">
        <v>1</v>
      </c>
      <c r="AM706" t="n">
        <v>2</v>
      </c>
      <c r="AN706" t="n">
        <v>0</v>
      </c>
      <c r="AO706" t="n">
        <v>0</v>
      </c>
      <c r="AP706" t="inlineStr">
        <is>
          <t>No</t>
        </is>
      </c>
      <c r="AQ706" t="inlineStr">
        <is>
          <t>Yes</t>
        </is>
      </c>
      <c r="AR706">
        <f>HYPERLINK("http://catalog.hathitrust.org/Record/000217427","HathiTrust Record")</f>
        <v/>
      </c>
      <c r="AS706">
        <f>HYPERLINK("https://creighton-primo.hosted.exlibrisgroup.com/primo-explore/search?tab=default_tab&amp;search_scope=EVERYTHING&amp;vid=01CRU&amp;lang=en_US&amp;offset=0&amp;query=any,contains,991005372199702656","Catalog Record")</f>
        <v/>
      </c>
      <c r="AT706">
        <f>HYPERLINK("http://www.worldcat.org/oclc/4258599","WorldCat Record")</f>
        <v/>
      </c>
      <c r="AU706" t="inlineStr">
        <is>
          <t>149234705:eng</t>
        </is>
      </c>
      <c r="AV706" t="inlineStr">
        <is>
          <t>4258599</t>
        </is>
      </c>
      <c r="AW706" t="inlineStr">
        <is>
          <t>991005372199702656</t>
        </is>
      </c>
      <c r="AX706" t="inlineStr">
        <is>
          <t>991005372199702656</t>
        </is>
      </c>
      <c r="AY706" t="inlineStr">
        <is>
          <t>2266557170002656</t>
        </is>
      </c>
      <c r="AZ706" t="inlineStr">
        <is>
          <t>BOOK</t>
        </is>
      </c>
      <c r="BB706" t="inlineStr">
        <is>
          <t>9780870011320</t>
        </is>
      </c>
      <c r="BC706" t="inlineStr">
        <is>
          <t>32285000198498</t>
        </is>
      </c>
      <c r="BD706" t="inlineStr">
        <is>
          <t>893443914</t>
        </is>
      </c>
    </row>
    <row r="707">
      <c r="A707" t="inlineStr">
        <is>
          <t>No</t>
        </is>
      </c>
      <c r="B707" t="inlineStr">
        <is>
          <t>PL527 .S4</t>
        </is>
      </c>
      <c r="C707" t="inlineStr">
        <is>
          <t>0                      PL 0527000S  4</t>
        </is>
      </c>
      <c r="D707" t="inlineStr">
        <is>
          <t>Japanese in action; an unorthodox approach to the spoken language and the people who speak it / Jack Seward.</t>
        </is>
      </c>
      <c r="F707" t="inlineStr">
        <is>
          <t>No</t>
        </is>
      </c>
      <c r="G707" t="inlineStr">
        <is>
          <t>1</t>
        </is>
      </c>
      <c r="H707" t="inlineStr">
        <is>
          <t>No</t>
        </is>
      </c>
      <c r="I707" t="inlineStr">
        <is>
          <t>No</t>
        </is>
      </c>
      <c r="J707" t="inlineStr">
        <is>
          <t>0</t>
        </is>
      </c>
      <c r="K707" t="inlineStr">
        <is>
          <t>Seward, Jack.</t>
        </is>
      </c>
      <c r="L707" t="inlineStr">
        <is>
          <t>New York : Walker/Weatherhill, 1969, 1981 printing.</t>
        </is>
      </c>
      <c r="M707" t="inlineStr">
        <is>
          <t>1969</t>
        </is>
      </c>
      <c r="N707" t="inlineStr">
        <is>
          <t>[1st ed.]</t>
        </is>
      </c>
      <c r="O707" t="inlineStr">
        <is>
          <t>eng</t>
        </is>
      </c>
      <c r="P707" t="inlineStr">
        <is>
          <t>nyu</t>
        </is>
      </c>
      <c r="R707" t="inlineStr">
        <is>
          <t xml:space="preserve">PL </t>
        </is>
      </c>
      <c r="S707" t="n">
        <v>17</v>
      </c>
      <c r="T707" t="n">
        <v>17</v>
      </c>
      <c r="U707" t="inlineStr">
        <is>
          <t>2000-05-19</t>
        </is>
      </c>
      <c r="V707" t="inlineStr">
        <is>
          <t>2000-05-19</t>
        </is>
      </c>
      <c r="W707" t="inlineStr">
        <is>
          <t>1992-04-24</t>
        </is>
      </c>
      <c r="X707" t="inlineStr">
        <is>
          <t>1992-04-24</t>
        </is>
      </c>
      <c r="Y707" t="n">
        <v>245</v>
      </c>
      <c r="Z707" t="n">
        <v>207</v>
      </c>
      <c r="AA707" t="n">
        <v>308</v>
      </c>
      <c r="AB707" t="n">
        <v>2</v>
      </c>
      <c r="AC707" t="n">
        <v>3</v>
      </c>
      <c r="AD707" t="n">
        <v>7</v>
      </c>
      <c r="AE707" t="n">
        <v>13</v>
      </c>
      <c r="AF707" t="n">
        <v>4</v>
      </c>
      <c r="AG707" t="n">
        <v>7</v>
      </c>
      <c r="AH707" t="n">
        <v>1</v>
      </c>
      <c r="AI707" t="n">
        <v>2</v>
      </c>
      <c r="AJ707" t="n">
        <v>4</v>
      </c>
      <c r="AK707" t="n">
        <v>7</v>
      </c>
      <c r="AL707" t="n">
        <v>1</v>
      </c>
      <c r="AM707" t="n">
        <v>2</v>
      </c>
      <c r="AN707" t="n">
        <v>0</v>
      </c>
      <c r="AO707" t="n">
        <v>0</v>
      </c>
      <c r="AP707" t="inlineStr">
        <is>
          <t>No</t>
        </is>
      </c>
      <c r="AQ707" t="inlineStr">
        <is>
          <t>Yes</t>
        </is>
      </c>
      <c r="AR707">
        <f>HYPERLINK("http://catalog.hathitrust.org/Record/001184703","HathiTrust Record")</f>
        <v/>
      </c>
      <c r="AS707">
        <f>HYPERLINK("https://creighton-primo.hosted.exlibrisgroup.com/primo-explore/search?tab=default_tab&amp;search_scope=EVERYTHING&amp;vid=01CRU&amp;lang=en_US&amp;offset=0&amp;query=any,contains,991005352599702656","Catalog Record")</f>
        <v/>
      </c>
      <c r="AT707">
        <f>HYPERLINK("http://www.worldcat.org/oclc/2452","WorldCat Record")</f>
        <v/>
      </c>
      <c r="AU707" t="inlineStr">
        <is>
          <t>1125697:eng</t>
        </is>
      </c>
      <c r="AV707" t="inlineStr">
        <is>
          <t>2452</t>
        </is>
      </c>
      <c r="AW707" t="inlineStr">
        <is>
          <t>991005352599702656</t>
        </is>
      </c>
      <c r="AX707" t="inlineStr">
        <is>
          <t>991005352599702656</t>
        </is>
      </c>
      <c r="AY707" t="inlineStr">
        <is>
          <t>2262693530002656</t>
        </is>
      </c>
      <c r="AZ707" t="inlineStr">
        <is>
          <t>BOOK</t>
        </is>
      </c>
      <c r="BC707" t="inlineStr">
        <is>
          <t>32285001071330</t>
        </is>
      </c>
      <c r="BD707" t="inlineStr">
        <is>
          <t>893613561</t>
        </is>
      </c>
    </row>
    <row r="708">
      <c r="A708" t="inlineStr">
        <is>
          <t>No</t>
        </is>
      </c>
      <c r="B708" t="inlineStr">
        <is>
          <t>PL535 .H37</t>
        </is>
      </c>
      <c r="C708" t="inlineStr">
        <is>
          <t>0                      PL 0535000H  37</t>
        </is>
      </c>
      <c r="D708" t="inlineStr">
        <is>
          <t>Nihongo to eigo / Kiyoshi Hasegawa.</t>
        </is>
      </c>
      <c r="F708" t="inlineStr">
        <is>
          <t>No</t>
        </is>
      </c>
      <c r="G708" t="inlineStr">
        <is>
          <t>1</t>
        </is>
      </c>
      <c r="H708" t="inlineStr">
        <is>
          <t>No</t>
        </is>
      </c>
      <c r="I708" t="inlineStr">
        <is>
          <t>No</t>
        </is>
      </c>
      <c r="J708" t="inlineStr">
        <is>
          <t>0</t>
        </is>
      </c>
      <c r="K708" t="inlineStr">
        <is>
          <t>Hasegawa, Kiyoshi, 1928-</t>
        </is>
      </c>
      <c r="L708" t="inlineStr">
        <is>
          <t>Tōkyō : Simul Press, 1974.</t>
        </is>
      </c>
      <c r="M708" t="inlineStr">
        <is>
          <t>1974</t>
        </is>
      </c>
      <c r="O708" t="inlineStr">
        <is>
          <t>jpn</t>
        </is>
      </c>
      <c r="P708" t="inlineStr">
        <is>
          <t xml:space="preserve">ja </t>
        </is>
      </c>
      <c r="R708" t="inlineStr">
        <is>
          <t xml:space="preserve">PL </t>
        </is>
      </c>
      <c r="S708" t="n">
        <v>2</v>
      </c>
      <c r="T708" t="n">
        <v>2</v>
      </c>
      <c r="U708" t="inlineStr">
        <is>
          <t>2007-09-05</t>
        </is>
      </c>
      <c r="V708" t="inlineStr">
        <is>
          <t>2007-09-05</t>
        </is>
      </c>
      <c r="W708" t="inlineStr">
        <is>
          <t>1993-02-08</t>
        </is>
      </c>
      <c r="X708" t="inlineStr">
        <is>
          <t>1993-02-08</t>
        </is>
      </c>
      <c r="Y708" t="n">
        <v>12</v>
      </c>
      <c r="Z708" t="n">
        <v>8</v>
      </c>
      <c r="AA708" t="n">
        <v>8</v>
      </c>
      <c r="AB708" t="n">
        <v>1</v>
      </c>
      <c r="AC708" t="n">
        <v>1</v>
      </c>
      <c r="AD708" t="n">
        <v>0</v>
      </c>
      <c r="AE708" t="n">
        <v>0</v>
      </c>
      <c r="AF708" t="n">
        <v>0</v>
      </c>
      <c r="AG708" t="n">
        <v>0</v>
      </c>
      <c r="AH708" t="n">
        <v>0</v>
      </c>
      <c r="AI708" t="n">
        <v>0</v>
      </c>
      <c r="AJ708" t="n">
        <v>0</v>
      </c>
      <c r="AK708" t="n">
        <v>0</v>
      </c>
      <c r="AL708" t="n">
        <v>0</v>
      </c>
      <c r="AM708" t="n">
        <v>0</v>
      </c>
      <c r="AN708" t="n">
        <v>0</v>
      </c>
      <c r="AO708" t="n">
        <v>0</v>
      </c>
      <c r="AP708" t="inlineStr">
        <is>
          <t>No</t>
        </is>
      </c>
      <c r="AQ708" t="inlineStr">
        <is>
          <t>No</t>
        </is>
      </c>
      <c r="AS708">
        <f>HYPERLINK("https://creighton-primo.hosted.exlibrisgroup.com/primo-explore/search?tab=default_tab&amp;search_scope=EVERYTHING&amp;vid=01CRU&amp;lang=en_US&amp;offset=0&amp;query=any,contains,991002028189702656","Catalog Record")</f>
        <v/>
      </c>
      <c r="AT708">
        <f>HYPERLINK("http://www.worldcat.org/oclc/25803095","WorldCat Record")</f>
        <v/>
      </c>
      <c r="AU708" t="inlineStr">
        <is>
          <t>5611710541:jpn</t>
        </is>
      </c>
      <c r="AV708" t="inlineStr">
        <is>
          <t>25803095</t>
        </is>
      </c>
      <c r="AW708" t="inlineStr">
        <is>
          <t>991002028189702656</t>
        </is>
      </c>
      <c r="AX708" t="inlineStr">
        <is>
          <t>991002028189702656</t>
        </is>
      </c>
      <c r="AY708" t="inlineStr">
        <is>
          <t>2262859990002656</t>
        </is>
      </c>
      <c r="AZ708" t="inlineStr">
        <is>
          <t>BOOK</t>
        </is>
      </c>
      <c r="BC708" t="inlineStr">
        <is>
          <t>32285001524924</t>
        </is>
      </c>
      <c r="BD708" t="inlineStr">
        <is>
          <t>893226373</t>
        </is>
      </c>
    </row>
    <row r="709">
      <c r="A709" t="inlineStr">
        <is>
          <t>No</t>
        </is>
      </c>
      <c r="B709" t="inlineStr">
        <is>
          <t>PL537 .M45 1998</t>
        </is>
      </c>
      <c r="C709" t="inlineStr">
        <is>
          <t>0                      PL 0537000M  45          1998</t>
        </is>
      </c>
      <c r="D709" t="inlineStr">
        <is>
          <t>The Japanese written word : a unique reader / Glenn Melchinger and Helene Kasha ; with a special contribution by Eitetsu Yamaguchi.</t>
        </is>
      </c>
      <c r="F709" t="inlineStr">
        <is>
          <t>No</t>
        </is>
      </c>
      <c r="G709" t="inlineStr">
        <is>
          <t>1</t>
        </is>
      </c>
      <c r="H709" t="inlineStr">
        <is>
          <t>No</t>
        </is>
      </c>
      <c r="I709" t="inlineStr">
        <is>
          <t>No</t>
        </is>
      </c>
      <c r="J709" t="inlineStr">
        <is>
          <t>0</t>
        </is>
      </c>
      <c r="K709" t="inlineStr">
        <is>
          <t>Melchinger, Glenn.</t>
        </is>
      </c>
      <c r="L709" t="inlineStr">
        <is>
          <t>Tokyo : New York : Kodansha, c1998.</t>
        </is>
      </c>
      <c r="M709" t="inlineStr">
        <is>
          <t>1998</t>
        </is>
      </c>
      <c r="O709" t="inlineStr">
        <is>
          <t>jpn</t>
        </is>
      </c>
      <c r="P709" t="inlineStr">
        <is>
          <t xml:space="preserve">ja </t>
        </is>
      </c>
      <c r="R709" t="inlineStr">
        <is>
          <t xml:space="preserve">PL </t>
        </is>
      </c>
      <c r="S709" t="n">
        <v>6</v>
      </c>
      <c r="T709" t="n">
        <v>6</v>
      </c>
      <c r="U709" t="inlineStr">
        <is>
          <t>2008-06-30</t>
        </is>
      </c>
      <c r="V709" t="inlineStr">
        <is>
          <t>2008-06-30</t>
        </is>
      </c>
      <c r="W709" t="inlineStr">
        <is>
          <t>1999-08-19</t>
        </is>
      </c>
      <c r="X709" t="inlineStr">
        <is>
          <t>1999-08-19</t>
        </is>
      </c>
      <c r="Y709" t="n">
        <v>66</v>
      </c>
      <c r="Z709" t="n">
        <v>41</v>
      </c>
      <c r="AA709" t="n">
        <v>42</v>
      </c>
      <c r="AB709" t="n">
        <v>2</v>
      </c>
      <c r="AC709" t="n">
        <v>2</v>
      </c>
      <c r="AD709" t="n">
        <v>2</v>
      </c>
      <c r="AE709" t="n">
        <v>2</v>
      </c>
      <c r="AF709" t="n">
        <v>0</v>
      </c>
      <c r="AG709" t="n">
        <v>0</v>
      </c>
      <c r="AH709" t="n">
        <v>0</v>
      </c>
      <c r="AI709" t="n">
        <v>0</v>
      </c>
      <c r="AJ709" t="n">
        <v>1</v>
      </c>
      <c r="AK709" t="n">
        <v>1</v>
      </c>
      <c r="AL709" t="n">
        <v>1</v>
      </c>
      <c r="AM709" t="n">
        <v>1</v>
      </c>
      <c r="AN709" t="n">
        <v>0</v>
      </c>
      <c r="AO709" t="n">
        <v>0</v>
      </c>
      <c r="AP709" t="inlineStr">
        <is>
          <t>No</t>
        </is>
      </c>
      <c r="AQ709" t="inlineStr">
        <is>
          <t>No</t>
        </is>
      </c>
      <c r="AS709">
        <f>HYPERLINK("https://creighton-primo.hosted.exlibrisgroup.com/primo-explore/search?tab=default_tab&amp;search_scope=EVERYTHING&amp;vid=01CRU&amp;lang=en_US&amp;offset=0&amp;query=any,contains,991003027529702656","Catalog Record")</f>
        <v/>
      </c>
      <c r="AT709">
        <f>HYPERLINK("http://www.worldcat.org/oclc/41402948","WorldCat Record")</f>
        <v/>
      </c>
      <c r="AU709" t="inlineStr">
        <is>
          <t>631610:eng</t>
        </is>
      </c>
      <c r="AV709" t="inlineStr">
        <is>
          <t>41402948</t>
        </is>
      </c>
      <c r="AW709" t="inlineStr">
        <is>
          <t>991003027529702656</t>
        </is>
      </c>
      <c r="AX709" t="inlineStr">
        <is>
          <t>991003027529702656</t>
        </is>
      </c>
      <c r="AY709" t="inlineStr">
        <is>
          <t>2269162380002656</t>
        </is>
      </c>
      <c r="AZ709" t="inlineStr">
        <is>
          <t>BOOK</t>
        </is>
      </c>
      <c r="BB709" t="inlineStr">
        <is>
          <t>9784770021267</t>
        </is>
      </c>
      <c r="BC709" t="inlineStr">
        <is>
          <t>32285003583142</t>
        </is>
      </c>
      <c r="BD709" t="inlineStr">
        <is>
          <t>893887055</t>
        </is>
      </c>
    </row>
    <row r="710">
      <c r="A710" t="inlineStr">
        <is>
          <t>No</t>
        </is>
      </c>
      <c r="B710" t="inlineStr">
        <is>
          <t>PL537 .W3</t>
        </is>
      </c>
      <c r="C710" t="inlineStr">
        <is>
          <t>0                      PL 0537000W  3</t>
        </is>
      </c>
      <c r="D710" t="inlineStr">
        <is>
          <t>Read Japanese today / Len Walsh.</t>
        </is>
      </c>
      <c r="F710" t="inlineStr">
        <is>
          <t>No</t>
        </is>
      </c>
      <c r="G710" t="inlineStr">
        <is>
          <t>1</t>
        </is>
      </c>
      <c r="H710" t="inlineStr">
        <is>
          <t>No</t>
        </is>
      </c>
      <c r="I710" t="inlineStr">
        <is>
          <t>No</t>
        </is>
      </c>
      <c r="J710" t="inlineStr">
        <is>
          <t>0</t>
        </is>
      </c>
      <c r="K710" t="inlineStr">
        <is>
          <t>Walsh, Len.</t>
        </is>
      </c>
      <c r="L710" t="inlineStr">
        <is>
          <t>Rutland, Vt. : C. E. Tuttle Co., c1969, 1981 printing.</t>
        </is>
      </c>
      <c r="M710" t="inlineStr">
        <is>
          <t>1969</t>
        </is>
      </c>
      <c r="O710" t="inlineStr">
        <is>
          <t>eng</t>
        </is>
      </c>
      <c r="P710" t="inlineStr">
        <is>
          <t>vtu</t>
        </is>
      </c>
      <c r="R710" t="inlineStr">
        <is>
          <t xml:space="preserve">PL </t>
        </is>
      </c>
      <c r="S710" t="n">
        <v>19</v>
      </c>
      <c r="T710" t="n">
        <v>19</v>
      </c>
      <c r="U710" t="inlineStr">
        <is>
          <t>2004-02-19</t>
        </is>
      </c>
      <c r="V710" t="inlineStr">
        <is>
          <t>2004-02-19</t>
        </is>
      </c>
      <c r="W710" t="inlineStr">
        <is>
          <t>1990-06-19</t>
        </is>
      </c>
      <c r="X710" t="inlineStr">
        <is>
          <t>1990-06-19</t>
        </is>
      </c>
      <c r="Y710" t="n">
        <v>380</v>
      </c>
      <c r="Z710" t="n">
        <v>293</v>
      </c>
      <c r="AA710" t="n">
        <v>760</v>
      </c>
      <c r="AB710" t="n">
        <v>4</v>
      </c>
      <c r="AC710" t="n">
        <v>7</v>
      </c>
      <c r="AD710" t="n">
        <v>8</v>
      </c>
      <c r="AE710" t="n">
        <v>27</v>
      </c>
      <c r="AF710" t="n">
        <v>4</v>
      </c>
      <c r="AG710" t="n">
        <v>11</v>
      </c>
      <c r="AH710" t="n">
        <v>0</v>
      </c>
      <c r="AI710" t="n">
        <v>5</v>
      </c>
      <c r="AJ710" t="n">
        <v>3</v>
      </c>
      <c r="AK710" t="n">
        <v>8</v>
      </c>
      <c r="AL710" t="n">
        <v>3</v>
      </c>
      <c r="AM710" t="n">
        <v>6</v>
      </c>
      <c r="AN710" t="n">
        <v>0</v>
      </c>
      <c r="AO710" t="n">
        <v>1</v>
      </c>
      <c r="AP710" t="inlineStr">
        <is>
          <t>No</t>
        </is>
      </c>
      <c r="AQ710" t="inlineStr">
        <is>
          <t>Yes</t>
        </is>
      </c>
      <c r="AR710">
        <f>HYPERLINK("http://catalog.hathitrust.org/Record/000000373","HathiTrust Record")</f>
        <v/>
      </c>
      <c r="AS710">
        <f>HYPERLINK("https://creighton-primo.hosted.exlibrisgroup.com/primo-explore/search?tab=default_tab&amp;search_scope=EVERYTHING&amp;vid=01CRU&amp;lang=en_US&amp;offset=0&amp;query=any,contains,991000090509702656","Catalog Record")</f>
        <v/>
      </c>
      <c r="AT710">
        <f>HYPERLINK("http://www.worldcat.org/oclc/36107","WorldCat Record")</f>
        <v/>
      </c>
      <c r="AU710" t="inlineStr">
        <is>
          <t>459971:eng</t>
        </is>
      </c>
      <c r="AV710" t="inlineStr">
        <is>
          <t>36107</t>
        </is>
      </c>
      <c r="AW710" t="inlineStr">
        <is>
          <t>991000090509702656</t>
        </is>
      </c>
      <c r="AX710" t="inlineStr">
        <is>
          <t>991000090509702656</t>
        </is>
      </c>
      <c r="AY710" t="inlineStr">
        <is>
          <t>2264929070002656</t>
        </is>
      </c>
      <c r="AZ710" t="inlineStr">
        <is>
          <t>BOOK</t>
        </is>
      </c>
      <c r="BC710" t="inlineStr">
        <is>
          <t>32285000199157</t>
        </is>
      </c>
      <c r="BD710" t="inlineStr">
        <is>
          <t>893495905</t>
        </is>
      </c>
    </row>
    <row r="711">
      <c r="A711" t="inlineStr">
        <is>
          <t>No</t>
        </is>
      </c>
      <c r="B711" t="inlineStr">
        <is>
          <t>PL539.3 .B33 1993</t>
        </is>
      </c>
      <c r="C711" t="inlineStr">
        <is>
          <t>0                      PL 0539300B  33          1993</t>
        </is>
      </c>
      <c r="D711" t="inlineStr">
        <is>
          <t>The Japanese language : an introduction / A.E. Backhouse.</t>
        </is>
      </c>
      <c r="F711" t="inlineStr">
        <is>
          <t>No</t>
        </is>
      </c>
      <c r="G711" t="inlineStr">
        <is>
          <t>1</t>
        </is>
      </c>
      <c r="H711" t="inlineStr">
        <is>
          <t>No</t>
        </is>
      </c>
      <c r="I711" t="inlineStr">
        <is>
          <t>No</t>
        </is>
      </c>
      <c r="J711" t="inlineStr">
        <is>
          <t>0</t>
        </is>
      </c>
      <c r="K711" t="inlineStr">
        <is>
          <t>Backhouse, A. E. (Anthony Edgar), 1944-</t>
        </is>
      </c>
      <c r="L711" t="inlineStr">
        <is>
          <t>Melbourne ; Oxford : Oxford University Press, c1993.</t>
        </is>
      </c>
      <c r="M711" t="inlineStr">
        <is>
          <t>1993</t>
        </is>
      </c>
      <c r="O711" t="inlineStr">
        <is>
          <t>eng</t>
        </is>
      </c>
      <c r="P711" t="inlineStr">
        <is>
          <t xml:space="preserve">at </t>
        </is>
      </c>
      <c r="R711" t="inlineStr">
        <is>
          <t xml:space="preserve">PL </t>
        </is>
      </c>
      <c r="S711" t="n">
        <v>14</v>
      </c>
      <c r="T711" t="n">
        <v>14</v>
      </c>
      <c r="U711" t="inlineStr">
        <is>
          <t>2008-07-31</t>
        </is>
      </c>
      <c r="V711" t="inlineStr">
        <is>
          <t>2008-07-31</t>
        </is>
      </c>
      <c r="W711" t="inlineStr">
        <is>
          <t>1998-04-23</t>
        </is>
      </c>
      <c r="X711" t="inlineStr">
        <is>
          <t>1998-04-23</t>
        </is>
      </c>
      <c r="Y711" t="n">
        <v>199</v>
      </c>
      <c r="Z711" t="n">
        <v>99</v>
      </c>
      <c r="AA711" t="n">
        <v>112</v>
      </c>
      <c r="AB711" t="n">
        <v>2</v>
      </c>
      <c r="AC711" t="n">
        <v>2</v>
      </c>
      <c r="AD711" t="n">
        <v>6</v>
      </c>
      <c r="AE711" t="n">
        <v>7</v>
      </c>
      <c r="AF711" t="n">
        <v>3</v>
      </c>
      <c r="AG711" t="n">
        <v>3</v>
      </c>
      <c r="AH711" t="n">
        <v>1</v>
      </c>
      <c r="AI711" t="n">
        <v>2</v>
      </c>
      <c r="AJ711" t="n">
        <v>5</v>
      </c>
      <c r="AK711" t="n">
        <v>5</v>
      </c>
      <c r="AL711" t="n">
        <v>1</v>
      </c>
      <c r="AM711" t="n">
        <v>1</v>
      </c>
      <c r="AN711" t="n">
        <v>0</v>
      </c>
      <c r="AO711" t="n">
        <v>0</v>
      </c>
      <c r="AP711" t="inlineStr">
        <is>
          <t>No</t>
        </is>
      </c>
      <c r="AQ711" t="inlineStr">
        <is>
          <t>Yes</t>
        </is>
      </c>
      <c r="AR711">
        <f>HYPERLINK("http://catalog.hathitrust.org/Record/101958735","HathiTrust Record")</f>
        <v/>
      </c>
      <c r="AS711">
        <f>HYPERLINK("https://creighton-primo.hosted.exlibrisgroup.com/primo-explore/search?tab=default_tab&amp;search_scope=EVERYTHING&amp;vid=01CRU&amp;lang=en_US&amp;offset=0&amp;query=any,contains,991005418619702656","Catalog Record")</f>
        <v/>
      </c>
      <c r="AT711">
        <f>HYPERLINK("http://www.worldcat.org/oclc/29984588","WorldCat Record")</f>
        <v/>
      </c>
      <c r="AU711" t="inlineStr">
        <is>
          <t>197356561:eng</t>
        </is>
      </c>
      <c r="AV711" t="inlineStr">
        <is>
          <t>29984588</t>
        </is>
      </c>
      <c r="AW711" t="inlineStr">
        <is>
          <t>991005418619702656</t>
        </is>
      </c>
      <c r="AX711" t="inlineStr">
        <is>
          <t>991005418619702656</t>
        </is>
      </c>
      <c r="AY711" t="inlineStr">
        <is>
          <t>2266725450002656</t>
        </is>
      </c>
      <c r="AZ711" t="inlineStr">
        <is>
          <t>BOOK</t>
        </is>
      </c>
      <c r="BB711" t="inlineStr">
        <is>
          <t>9780195535099</t>
        </is>
      </c>
      <c r="BC711" t="inlineStr">
        <is>
          <t>32285003377552</t>
        </is>
      </c>
      <c r="BD711" t="inlineStr">
        <is>
          <t>893533822</t>
        </is>
      </c>
    </row>
    <row r="712">
      <c r="A712" t="inlineStr">
        <is>
          <t>No</t>
        </is>
      </c>
      <c r="B712" t="inlineStr">
        <is>
          <t>PL716 .K2413 1981</t>
        </is>
      </c>
      <c r="C712" t="inlineStr">
        <is>
          <t>0                      PL 0716000K  2413        1981</t>
        </is>
      </c>
      <c r="D712" t="inlineStr">
        <is>
          <t>A history of Japanese literature / Shuichi Kato ; translated by David Chibbett ; foreword by Ronald Dore.</t>
        </is>
      </c>
      <c r="E712" t="inlineStr">
        <is>
          <t>V.3</t>
        </is>
      </c>
      <c r="F712" t="inlineStr">
        <is>
          <t>Yes</t>
        </is>
      </c>
      <c r="G712" t="inlineStr">
        <is>
          <t>1</t>
        </is>
      </c>
      <c r="H712" t="inlineStr">
        <is>
          <t>No</t>
        </is>
      </c>
      <c r="I712" t="inlineStr">
        <is>
          <t>No</t>
        </is>
      </c>
      <c r="J712" t="inlineStr">
        <is>
          <t>0</t>
        </is>
      </c>
      <c r="K712" t="inlineStr">
        <is>
          <t>Katō, Shūichi, 1919-2008.</t>
        </is>
      </c>
      <c r="L712" t="inlineStr">
        <is>
          <t>Tokyo ; New York : Kodansha International, 1981-1990, c1979.</t>
        </is>
      </c>
      <c r="M712" t="inlineStr">
        <is>
          <t>1981</t>
        </is>
      </c>
      <c r="N712" t="inlineStr">
        <is>
          <t>1st pbk. ed.</t>
        </is>
      </c>
      <c r="O712" t="inlineStr">
        <is>
          <t>eng</t>
        </is>
      </c>
      <c r="P712" t="inlineStr">
        <is>
          <t xml:space="preserve">ja </t>
        </is>
      </c>
      <c r="R712" t="inlineStr">
        <is>
          <t xml:space="preserve">PL </t>
        </is>
      </c>
      <c r="S712" t="n">
        <v>21</v>
      </c>
      <c r="T712" t="n">
        <v>33</v>
      </c>
      <c r="U712" t="inlineStr">
        <is>
          <t>2005-09-27</t>
        </is>
      </c>
      <c r="V712" t="inlineStr">
        <is>
          <t>2005-09-27</t>
        </is>
      </c>
      <c r="W712" t="inlineStr">
        <is>
          <t>1994-01-20</t>
        </is>
      </c>
      <c r="X712" t="inlineStr">
        <is>
          <t>1994-01-20</t>
        </is>
      </c>
      <c r="Y712" t="n">
        <v>104</v>
      </c>
      <c r="Z712" t="n">
        <v>82</v>
      </c>
      <c r="AA712" t="n">
        <v>162</v>
      </c>
      <c r="AB712" t="n">
        <v>1</v>
      </c>
      <c r="AC712" t="n">
        <v>3</v>
      </c>
      <c r="AD712" t="n">
        <v>4</v>
      </c>
      <c r="AE712" t="n">
        <v>11</v>
      </c>
      <c r="AF712" t="n">
        <v>1</v>
      </c>
      <c r="AG712" t="n">
        <v>3</v>
      </c>
      <c r="AH712" t="n">
        <v>0</v>
      </c>
      <c r="AI712" t="n">
        <v>3</v>
      </c>
      <c r="AJ712" t="n">
        <v>4</v>
      </c>
      <c r="AK712" t="n">
        <v>5</v>
      </c>
      <c r="AL712" t="n">
        <v>0</v>
      </c>
      <c r="AM712" t="n">
        <v>2</v>
      </c>
      <c r="AN712" t="n">
        <v>0</v>
      </c>
      <c r="AO712" t="n">
        <v>0</v>
      </c>
      <c r="AP712" t="inlineStr">
        <is>
          <t>No</t>
        </is>
      </c>
      <c r="AQ712" t="inlineStr">
        <is>
          <t>Yes</t>
        </is>
      </c>
      <c r="AR712">
        <f>HYPERLINK("http://catalog.hathitrust.org/Record/009923249","HathiTrust Record")</f>
        <v/>
      </c>
      <c r="AS712">
        <f>HYPERLINK("https://creighton-primo.hosted.exlibrisgroup.com/primo-explore/search?tab=default_tab&amp;search_scope=EVERYTHING&amp;vid=01CRU&amp;lang=en_US&amp;offset=0&amp;query=any,contains,991002030409702656","Catalog Record")</f>
        <v/>
      </c>
      <c r="AT712">
        <f>HYPERLINK("http://www.worldcat.org/oclc/25837140","WorldCat Record")</f>
        <v/>
      </c>
      <c r="AU712" t="inlineStr">
        <is>
          <t>162705197:eng</t>
        </is>
      </c>
      <c r="AV712" t="inlineStr">
        <is>
          <t>25837140</t>
        </is>
      </c>
      <c r="AW712" t="inlineStr">
        <is>
          <t>991002030409702656</t>
        </is>
      </c>
      <c r="AX712" t="inlineStr">
        <is>
          <t>991002030409702656</t>
        </is>
      </c>
      <c r="AY712" t="inlineStr">
        <is>
          <t>2264532050002656</t>
        </is>
      </c>
      <c r="AZ712" t="inlineStr">
        <is>
          <t>BOOK</t>
        </is>
      </c>
      <c r="BB712" t="inlineStr">
        <is>
          <t>9780870114915</t>
        </is>
      </c>
      <c r="BC712" t="inlineStr">
        <is>
          <t>32285001678811</t>
        </is>
      </c>
      <c r="BD712" t="inlineStr">
        <is>
          <t>893316294</t>
        </is>
      </c>
    </row>
    <row r="713">
      <c r="A713" t="inlineStr">
        <is>
          <t>No</t>
        </is>
      </c>
      <c r="B713" t="inlineStr">
        <is>
          <t>PL716 .K2413 1981</t>
        </is>
      </c>
      <c r="C713" t="inlineStr">
        <is>
          <t>0                      PL 0716000K  2413        1981</t>
        </is>
      </c>
      <c r="D713" t="inlineStr">
        <is>
          <t>A history of Japanese literature / Shuichi Kato ; translated by David Chibbett ; foreword by Ronald Dore.</t>
        </is>
      </c>
      <c r="E713" t="inlineStr">
        <is>
          <t>V.2</t>
        </is>
      </c>
      <c r="F713" t="inlineStr">
        <is>
          <t>Yes</t>
        </is>
      </c>
      <c r="G713" t="inlineStr">
        <is>
          <t>1</t>
        </is>
      </c>
      <c r="H713" t="inlineStr">
        <is>
          <t>No</t>
        </is>
      </c>
      <c r="I713" t="inlineStr">
        <is>
          <t>No</t>
        </is>
      </c>
      <c r="J713" t="inlineStr">
        <is>
          <t>0</t>
        </is>
      </c>
      <c r="K713" t="inlineStr">
        <is>
          <t>Katō, Shūichi, 1919-2008.</t>
        </is>
      </c>
      <c r="L713" t="inlineStr">
        <is>
          <t>Tokyo ; New York : Kodansha International, 1981-1990, c1979.</t>
        </is>
      </c>
      <c r="M713" t="inlineStr">
        <is>
          <t>1981</t>
        </is>
      </c>
      <c r="N713" t="inlineStr">
        <is>
          <t>1st pbk. ed.</t>
        </is>
      </c>
      <c r="O713" t="inlineStr">
        <is>
          <t>eng</t>
        </is>
      </c>
      <c r="P713" t="inlineStr">
        <is>
          <t xml:space="preserve">ja </t>
        </is>
      </c>
      <c r="R713" t="inlineStr">
        <is>
          <t xml:space="preserve">PL </t>
        </is>
      </c>
      <c r="S713" t="n">
        <v>12</v>
      </c>
      <c r="T713" t="n">
        <v>33</v>
      </c>
      <c r="U713" t="inlineStr">
        <is>
          <t>2001-03-29</t>
        </is>
      </c>
      <c r="V713" t="inlineStr">
        <is>
          <t>2005-09-27</t>
        </is>
      </c>
      <c r="W713" t="inlineStr">
        <is>
          <t>1994-01-20</t>
        </is>
      </c>
      <c r="X713" t="inlineStr">
        <is>
          <t>1994-01-20</t>
        </is>
      </c>
      <c r="Y713" t="n">
        <v>104</v>
      </c>
      <c r="Z713" t="n">
        <v>82</v>
      </c>
      <c r="AA713" t="n">
        <v>162</v>
      </c>
      <c r="AB713" t="n">
        <v>1</v>
      </c>
      <c r="AC713" t="n">
        <v>3</v>
      </c>
      <c r="AD713" t="n">
        <v>4</v>
      </c>
      <c r="AE713" t="n">
        <v>11</v>
      </c>
      <c r="AF713" t="n">
        <v>1</v>
      </c>
      <c r="AG713" t="n">
        <v>3</v>
      </c>
      <c r="AH713" t="n">
        <v>0</v>
      </c>
      <c r="AI713" t="n">
        <v>3</v>
      </c>
      <c r="AJ713" t="n">
        <v>4</v>
      </c>
      <c r="AK713" t="n">
        <v>5</v>
      </c>
      <c r="AL713" t="n">
        <v>0</v>
      </c>
      <c r="AM713" t="n">
        <v>2</v>
      </c>
      <c r="AN713" t="n">
        <v>0</v>
      </c>
      <c r="AO713" t="n">
        <v>0</v>
      </c>
      <c r="AP713" t="inlineStr">
        <is>
          <t>No</t>
        </is>
      </c>
      <c r="AQ713" t="inlineStr">
        <is>
          <t>Yes</t>
        </is>
      </c>
      <c r="AR713">
        <f>HYPERLINK("http://catalog.hathitrust.org/Record/009923249","HathiTrust Record")</f>
        <v/>
      </c>
      <c r="AS713">
        <f>HYPERLINK("https://creighton-primo.hosted.exlibrisgroup.com/primo-explore/search?tab=default_tab&amp;search_scope=EVERYTHING&amp;vid=01CRU&amp;lang=en_US&amp;offset=0&amp;query=any,contains,991002030409702656","Catalog Record")</f>
        <v/>
      </c>
      <c r="AT713">
        <f>HYPERLINK("http://www.worldcat.org/oclc/25837140","WorldCat Record")</f>
        <v/>
      </c>
      <c r="AU713" t="inlineStr">
        <is>
          <t>162705197:eng</t>
        </is>
      </c>
      <c r="AV713" t="inlineStr">
        <is>
          <t>25837140</t>
        </is>
      </c>
      <c r="AW713" t="inlineStr">
        <is>
          <t>991002030409702656</t>
        </is>
      </c>
      <c r="AX713" t="inlineStr">
        <is>
          <t>991002030409702656</t>
        </is>
      </c>
      <c r="AY713" t="inlineStr">
        <is>
          <t>2264532050002656</t>
        </is>
      </c>
      <c r="AZ713" t="inlineStr">
        <is>
          <t>BOOK</t>
        </is>
      </c>
      <c r="BB713" t="inlineStr">
        <is>
          <t>9780870114915</t>
        </is>
      </c>
      <c r="BC713" t="inlineStr">
        <is>
          <t>32285001678803</t>
        </is>
      </c>
      <c r="BD713" t="inlineStr">
        <is>
          <t>893334848</t>
        </is>
      </c>
    </row>
    <row r="714">
      <c r="A714" t="inlineStr">
        <is>
          <t>No</t>
        </is>
      </c>
      <c r="B714" t="inlineStr">
        <is>
          <t>PL717 .A8</t>
        </is>
      </c>
      <c r="C714" t="inlineStr">
        <is>
          <t>0                      PL 0717000A  8</t>
        </is>
      </c>
      <c r="D714" t="inlineStr">
        <is>
          <t>A history of Japanese literature, by W.G. Aston.</t>
        </is>
      </c>
      <c r="F714" t="inlineStr">
        <is>
          <t>No</t>
        </is>
      </c>
      <c r="G714" t="inlineStr">
        <is>
          <t>1</t>
        </is>
      </c>
      <c r="H714" t="inlineStr">
        <is>
          <t>No</t>
        </is>
      </c>
      <c r="I714" t="inlineStr">
        <is>
          <t>Yes</t>
        </is>
      </c>
      <c r="J714" t="inlineStr">
        <is>
          <t>0</t>
        </is>
      </c>
      <c r="K714" t="inlineStr">
        <is>
          <t>Aston, W. G. (William George), 1841-1911.</t>
        </is>
      </c>
      <c r="L714" t="inlineStr">
        <is>
          <t>New York, D. Appleton and company [1899]</t>
        </is>
      </c>
      <c r="M714" t="inlineStr">
        <is>
          <t>1899</t>
        </is>
      </c>
      <c r="O714" t="inlineStr">
        <is>
          <t>eng</t>
        </is>
      </c>
      <c r="P714" t="inlineStr">
        <is>
          <t>nyu</t>
        </is>
      </c>
      <c r="R714" t="inlineStr">
        <is>
          <t xml:space="preserve">PL </t>
        </is>
      </c>
      <c r="S714" t="n">
        <v>5</v>
      </c>
      <c r="T714" t="n">
        <v>5</v>
      </c>
      <c r="U714" t="inlineStr">
        <is>
          <t>2009-04-22</t>
        </is>
      </c>
      <c r="V714" t="inlineStr">
        <is>
          <t>2009-04-22</t>
        </is>
      </c>
      <c r="W714" t="inlineStr">
        <is>
          <t>1997-09-16</t>
        </is>
      </c>
      <c r="X714" t="inlineStr">
        <is>
          <t>1997-09-16</t>
        </is>
      </c>
      <c r="Y714" t="n">
        <v>305</v>
      </c>
      <c r="Z714" t="n">
        <v>281</v>
      </c>
      <c r="AA714" t="n">
        <v>802</v>
      </c>
      <c r="AB714" t="n">
        <v>5</v>
      </c>
      <c r="AC714" t="n">
        <v>8</v>
      </c>
      <c r="AD714" t="n">
        <v>12</v>
      </c>
      <c r="AE714" t="n">
        <v>34</v>
      </c>
      <c r="AF714" t="n">
        <v>4</v>
      </c>
      <c r="AG714" t="n">
        <v>13</v>
      </c>
      <c r="AH714" t="n">
        <v>2</v>
      </c>
      <c r="AI714" t="n">
        <v>8</v>
      </c>
      <c r="AJ714" t="n">
        <v>4</v>
      </c>
      <c r="AK714" t="n">
        <v>14</v>
      </c>
      <c r="AL714" t="n">
        <v>4</v>
      </c>
      <c r="AM714" t="n">
        <v>5</v>
      </c>
      <c r="AN714" t="n">
        <v>0</v>
      </c>
      <c r="AO714" t="n">
        <v>0</v>
      </c>
      <c r="AP714" t="inlineStr">
        <is>
          <t>Yes</t>
        </is>
      </c>
      <c r="AQ714" t="inlineStr">
        <is>
          <t>No</t>
        </is>
      </c>
      <c r="AR714">
        <f>HYPERLINK("http://catalog.hathitrust.org/Record/001184732","HathiTrust Record")</f>
        <v/>
      </c>
      <c r="AS714">
        <f>HYPERLINK("https://creighton-primo.hosted.exlibrisgroup.com/primo-explore/search?tab=default_tab&amp;search_scope=EVERYTHING&amp;vid=01CRU&amp;lang=en_US&amp;offset=0&amp;query=any,contains,991003794639702656","Catalog Record")</f>
        <v/>
      </c>
      <c r="AT714">
        <f>HYPERLINK("http://www.worldcat.org/oclc/1515492","WorldCat Record")</f>
        <v/>
      </c>
      <c r="AU714" t="inlineStr">
        <is>
          <t>578861:eng</t>
        </is>
      </c>
      <c r="AV714" t="inlineStr">
        <is>
          <t>1515492</t>
        </is>
      </c>
      <c r="AW714" t="inlineStr">
        <is>
          <t>991003794639702656</t>
        </is>
      </c>
      <c r="AX714" t="inlineStr">
        <is>
          <t>991003794639702656</t>
        </is>
      </c>
      <c r="AY714" t="inlineStr">
        <is>
          <t>2263903740002656</t>
        </is>
      </c>
      <c r="AZ714" t="inlineStr">
        <is>
          <t>BOOK</t>
        </is>
      </c>
      <c r="BC714" t="inlineStr">
        <is>
          <t>32285003224242</t>
        </is>
      </c>
      <c r="BD714" t="inlineStr">
        <is>
          <t>893617779</t>
        </is>
      </c>
    </row>
    <row r="715">
      <c r="A715" t="inlineStr">
        <is>
          <t>No</t>
        </is>
      </c>
      <c r="B715" t="inlineStr">
        <is>
          <t>PL717 .A8 1972</t>
        </is>
      </c>
      <c r="C715" t="inlineStr">
        <is>
          <t>0                      PL 0717000A  8           1972</t>
        </is>
      </c>
      <c r="D715" t="inlineStr">
        <is>
          <t>A history of Japanese literature / by W. G. Aston. With an introd. to the new ed. by Terence Barrow.</t>
        </is>
      </c>
      <c r="F715" t="inlineStr">
        <is>
          <t>No</t>
        </is>
      </c>
      <c r="G715" t="inlineStr">
        <is>
          <t>1</t>
        </is>
      </c>
      <c r="H715" t="inlineStr">
        <is>
          <t>No</t>
        </is>
      </c>
      <c r="I715" t="inlineStr">
        <is>
          <t>Yes</t>
        </is>
      </c>
      <c r="J715" t="inlineStr">
        <is>
          <t>0</t>
        </is>
      </c>
      <c r="K715" t="inlineStr">
        <is>
          <t>Aston, W. G. (William George), 1841-1911.</t>
        </is>
      </c>
      <c r="L715" t="inlineStr">
        <is>
          <t>Rutland, Vt. : C. E. Tuttle Co., c1972, 1981 printing.</t>
        </is>
      </c>
      <c r="M715" t="inlineStr">
        <is>
          <t>1972</t>
        </is>
      </c>
      <c r="O715" t="inlineStr">
        <is>
          <t>eng</t>
        </is>
      </c>
      <c r="P715" t="inlineStr">
        <is>
          <t>vtu</t>
        </is>
      </c>
      <c r="Q715" t="inlineStr">
        <is>
          <t>Tut books. R</t>
        </is>
      </c>
      <c r="R715" t="inlineStr">
        <is>
          <t xml:space="preserve">PL </t>
        </is>
      </c>
      <c r="S715" t="n">
        <v>15</v>
      </c>
      <c r="T715" t="n">
        <v>15</v>
      </c>
      <c r="U715" t="inlineStr">
        <is>
          <t>2004-12-09</t>
        </is>
      </c>
      <c r="V715" t="inlineStr">
        <is>
          <t>2004-12-09</t>
        </is>
      </c>
      <c r="W715" t="inlineStr">
        <is>
          <t>1992-02-24</t>
        </is>
      </c>
      <c r="X715" t="inlineStr">
        <is>
          <t>1992-02-24</t>
        </is>
      </c>
      <c r="Y715" t="n">
        <v>405</v>
      </c>
      <c r="Z715" t="n">
        <v>321</v>
      </c>
      <c r="AA715" t="n">
        <v>802</v>
      </c>
      <c r="AB715" t="n">
        <v>4</v>
      </c>
      <c r="AC715" t="n">
        <v>8</v>
      </c>
      <c r="AD715" t="n">
        <v>12</v>
      </c>
      <c r="AE715" t="n">
        <v>34</v>
      </c>
      <c r="AF715" t="n">
        <v>6</v>
      </c>
      <c r="AG715" t="n">
        <v>13</v>
      </c>
      <c r="AH715" t="n">
        <v>3</v>
      </c>
      <c r="AI715" t="n">
        <v>8</v>
      </c>
      <c r="AJ715" t="n">
        <v>5</v>
      </c>
      <c r="AK715" t="n">
        <v>14</v>
      </c>
      <c r="AL715" t="n">
        <v>1</v>
      </c>
      <c r="AM715" t="n">
        <v>5</v>
      </c>
      <c r="AN715" t="n">
        <v>0</v>
      </c>
      <c r="AO715" t="n">
        <v>0</v>
      </c>
      <c r="AP715" t="inlineStr">
        <is>
          <t>No</t>
        </is>
      </c>
      <c r="AQ715" t="inlineStr">
        <is>
          <t>Yes</t>
        </is>
      </c>
      <c r="AR715">
        <f>HYPERLINK("http://catalog.hathitrust.org/Record/001184733","HathiTrust Record")</f>
        <v/>
      </c>
      <c r="AS715">
        <f>HYPERLINK("https://creighton-primo.hosted.exlibrisgroup.com/primo-explore/search?tab=default_tab&amp;search_scope=EVERYTHING&amp;vid=01CRU&amp;lang=en_US&amp;offset=0&amp;query=any,contains,991002694269702656","Catalog Record")</f>
        <v/>
      </c>
      <c r="AT715">
        <f>HYPERLINK("http://www.worldcat.org/oclc/402939","WorldCat Record")</f>
        <v/>
      </c>
      <c r="AU715" t="inlineStr">
        <is>
          <t>578861:eng</t>
        </is>
      </c>
      <c r="AV715" t="inlineStr">
        <is>
          <t>402939</t>
        </is>
      </c>
      <c r="AW715" t="inlineStr">
        <is>
          <t>991002694269702656</t>
        </is>
      </c>
      <c r="AX715" t="inlineStr">
        <is>
          <t>991002694269702656</t>
        </is>
      </c>
      <c r="AY715" t="inlineStr">
        <is>
          <t>2267754220002656</t>
        </is>
      </c>
      <c r="AZ715" t="inlineStr">
        <is>
          <t>BOOK</t>
        </is>
      </c>
      <c r="BB715" t="inlineStr">
        <is>
          <t>9780804809979</t>
        </is>
      </c>
      <c r="BC715" t="inlineStr">
        <is>
          <t>32285000975739</t>
        </is>
      </c>
      <c r="BD715" t="inlineStr">
        <is>
          <t>893873874</t>
        </is>
      </c>
    </row>
    <row r="716">
      <c r="A716" t="inlineStr">
        <is>
          <t>No</t>
        </is>
      </c>
      <c r="B716" t="inlineStr">
        <is>
          <t>PL717 .B413</t>
        </is>
      </c>
      <c r="C716" t="inlineStr">
        <is>
          <t>0                      PL 0717000B  413</t>
        </is>
      </c>
      <c r="D716" t="inlineStr">
        <is>
          <t>Japanese literature. Translated from the French by Unity Evans.</t>
        </is>
      </c>
      <c r="F716" t="inlineStr">
        <is>
          <t>No</t>
        </is>
      </c>
      <c r="G716" t="inlineStr">
        <is>
          <t>1</t>
        </is>
      </c>
      <c r="H716" t="inlineStr">
        <is>
          <t>No</t>
        </is>
      </c>
      <c r="I716" t="inlineStr">
        <is>
          <t>No</t>
        </is>
      </c>
      <c r="J716" t="inlineStr">
        <is>
          <t>0</t>
        </is>
      </c>
      <c r="K716" t="inlineStr">
        <is>
          <t>Bersihand, Roger.</t>
        </is>
      </c>
      <c r="L716" t="inlineStr">
        <is>
          <t>New York Walker [c1965]</t>
        </is>
      </c>
      <c r="M716" t="inlineStr">
        <is>
          <t>1965</t>
        </is>
      </c>
      <c r="O716" t="inlineStr">
        <is>
          <t>eng</t>
        </is>
      </c>
      <c r="P716" t="inlineStr">
        <is>
          <t>nyu</t>
        </is>
      </c>
      <c r="R716" t="inlineStr">
        <is>
          <t xml:space="preserve">PL </t>
        </is>
      </c>
      <c r="S716" t="n">
        <v>4</v>
      </c>
      <c r="T716" t="n">
        <v>4</v>
      </c>
      <c r="U716" t="inlineStr">
        <is>
          <t>2001-03-29</t>
        </is>
      </c>
      <c r="V716" t="inlineStr">
        <is>
          <t>2001-03-29</t>
        </is>
      </c>
      <c r="W716" t="inlineStr">
        <is>
          <t>1997-09-16</t>
        </is>
      </c>
      <c r="X716" t="inlineStr">
        <is>
          <t>1997-09-16</t>
        </is>
      </c>
      <c r="Y716" t="n">
        <v>256</v>
      </c>
      <c r="Z716" t="n">
        <v>233</v>
      </c>
      <c r="AA716" t="n">
        <v>242</v>
      </c>
      <c r="AB716" t="n">
        <v>1</v>
      </c>
      <c r="AC716" t="n">
        <v>1</v>
      </c>
      <c r="AD716" t="n">
        <v>5</v>
      </c>
      <c r="AE716" t="n">
        <v>5</v>
      </c>
      <c r="AF716" t="n">
        <v>2</v>
      </c>
      <c r="AG716" t="n">
        <v>2</v>
      </c>
      <c r="AH716" t="n">
        <v>1</v>
      </c>
      <c r="AI716" t="n">
        <v>1</v>
      </c>
      <c r="AJ716" t="n">
        <v>3</v>
      </c>
      <c r="AK716" t="n">
        <v>3</v>
      </c>
      <c r="AL716" t="n">
        <v>0</v>
      </c>
      <c r="AM716" t="n">
        <v>0</v>
      </c>
      <c r="AN716" t="n">
        <v>0</v>
      </c>
      <c r="AO716" t="n">
        <v>0</v>
      </c>
      <c r="AP716" t="inlineStr">
        <is>
          <t>No</t>
        </is>
      </c>
      <c r="AQ716" t="inlineStr">
        <is>
          <t>Yes</t>
        </is>
      </c>
      <c r="AR716">
        <f>HYPERLINK("http://catalog.hathitrust.org/Record/102041060","HathiTrust Record")</f>
        <v/>
      </c>
      <c r="AS716">
        <f>HYPERLINK("https://creighton-primo.hosted.exlibrisgroup.com/primo-explore/search?tab=default_tab&amp;search_scope=EVERYTHING&amp;vid=01CRU&amp;lang=en_US&amp;offset=0&amp;query=any,contains,991004584809702656","Catalog Record")</f>
        <v/>
      </c>
      <c r="AT716">
        <f>HYPERLINK("http://www.worldcat.org/oclc/4078286","WorldCat Record")</f>
        <v/>
      </c>
      <c r="AU716" t="inlineStr">
        <is>
          <t>14179991:eng</t>
        </is>
      </c>
      <c r="AV716" t="inlineStr">
        <is>
          <t>4078286</t>
        </is>
      </c>
      <c r="AW716" t="inlineStr">
        <is>
          <t>991004584809702656</t>
        </is>
      </c>
      <c r="AX716" t="inlineStr">
        <is>
          <t>991004584809702656</t>
        </is>
      </c>
      <c r="AY716" t="inlineStr">
        <is>
          <t>2266482700002656</t>
        </is>
      </c>
      <c r="AZ716" t="inlineStr">
        <is>
          <t>BOOK</t>
        </is>
      </c>
      <c r="BC716" t="inlineStr">
        <is>
          <t>32285003224259</t>
        </is>
      </c>
      <c r="BD716" t="inlineStr">
        <is>
          <t>893344025</t>
        </is>
      </c>
    </row>
    <row r="717">
      <c r="A717" t="inlineStr">
        <is>
          <t>No</t>
        </is>
      </c>
      <c r="B717" t="inlineStr">
        <is>
          <t>PL717 .K6 1970</t>
        </is>
      </c>
      <c r="C717" t="inlineStr">
        <is>
          <t>0                      PL 0717000K  6           1970</t>
        </is>
      </c>
      <c r="D717" t="inlineStr">
        <is>
          <t>Introduction to classic Japanese literature.</t>
        </is>
      </c>
      <c r="F717" t="inlineStr">
        <is>
          <t>No</t>
        </is>
      </c>
      <c r="G717" t="inlineStr">
        <is>
          <t>1</t>
        </is>
      </c>
      <c r="H717" t="inlineStr">
        <is>
          <t>No</t>
        </is>
      </c>
      <c r="I717" t="inlineStr">
        <is>
          <t>No</t>
        </is>
      </c>
      <c r="J717" t="inlineStr">
        <is>
          <t>0</t>
        </is>
      </c>
      <c r="K717" t="inlineStr">
        <is>
          <t>Kokusai Bunka Shinkōkai.</t>
        </is>
      </c>
      <c r="L717" t="inlineStr">
        <is>
          <t>Westport, Conn. : Greenwood Press, [1970]</t>
        </is>
      </c>
      <c r="M717" t="inlineStr">
        <is>
          <t>1970</t>
        </is>
      </c>
      <c r="O717" t="inlineStr">
        <is>
          <t>eng</t>
        </is>
      </c>
      <c r="P717" t="inlineStr">
        <is>
          <t>ctu</t>
        </is>
      </c>
      <c r="R717" t="inlineStr">
        <is>
          <t xml:space="preserve">PL </t>
        </is>
      </c>
      <c r="S717" t="n">
        <v>18</v>
      </c>
      <c r="T717" t="n">
        <v>18</v>
      </c>
      <c r="U717" t="inlineStr">
        <is>
          <t>1997-02-27</t>
        </is>
      </c>
      <c r="V717" t="inlineStr">
        <is>
          <t>1997-02-27</t>
        </is>
      </c>
      <c r="W717" t="inlineStr">
        <is>
          <t>1992-02-12</t>
        </is>
      </c>
      <c r="X717" t="inlineStr">
        <is>
          <t>1992-02-12</t>
        </is>
      </c>
      <c r="Y717" t="n">
        <v>238</v>
      </c>
      <c r="Z717" t="n">
        <v>217</v>
      </c>
      <c r="AA717" t="n">
        <v>360</v>
      </c>
      <c r="AB717" t="n">
        <v>1</v>
      </c>
      <c r="AC717" t="n">
        <v>2</v>
      </c>
      <c r="AD717" t="n">
        <v>8</v>
      </c>
      <c r="AE717" t="n">
        <v>15</v>
      </c>
      <c r="AF717" t="n">
        <v>2</v>
      </c>
      <c r="AG717" t="n">
        <v>5</v>
      </c>
      <c r="AH717" t="n">
        <v>3</v>
      </c>
      <c r="AI717" t="n">
        <v>4</v>
      </c>
      <c r="AJ717" t="n">
        <v>4</v>
      </c>
      <c r="AK717" t="n">
        <v>9</v>
      </c>
      <c r="AL717" t="n">
        <v>0</v>
      </c>
      <c r="AM717" t="n">
        <v>1</v>
      </c>
      <c r="AN717" t="n">
        <v>0</v>
      </c>
      <c r="AO717" t="n">
        <v>0</v>
      </c>
      <c r="AP717" t="inlineStr">
        <is>
          <t>No</t>
        </is>
      </c>
      <c r="AQ717" t="inlineStr">
        <is>
          <t>No</t>
        </is>
      </c>
      <c r="AS717">
        <f>HYPERLINK("https://creighton-primo.hosted.exlibrisgroup.com/primo-explore/search?tab=default_tab&amp;search_scope=EVERYTHING&amp;vid=01CRU&amp;lang=en_US&amp;offset=0&amp;query=any,contains,991000832429702656","Catalog Record")</f>
        <v/>
      </c>
      <c r="AT717">
        <f>HYPERLINK("http://www.worldcat.org/oclc/148292","WorldCat Record")</f>
        <v/>
      </c>
      <c r="AU717" t="inlineStr">
        <is>
          <t>191832978:eng</t>
        </is>
      </c>
      <c r="AV717" t="inlineStr">
        <is>
          <t>148292</t>
        </is>
      </c>
      <c r="AW717" t="inlineStr">
        <is>
          <t>991000832429702656</t>
        </is>
      </c>
      <c r="AX717" t="inlineStr">
        <is>
          <t>991000832429702656</t>
        </is>
      </c>
      <c r="AY717" t="inlineStr">
        <is>
          <t>2260031250002656</t>
        </is>
      </c>
      <c r="AZ717" t="inlineStr">
        <is>
          <t>BOOK</t>
        </is>
      </c>
      <c r="BB717" t="inlineStr">
        <is>
          <t>9780837131184</t>
        </is>
      </c>
      <c r="BC717" t="inlineStr">
        <is>
          <t>32285000956473</t>
        </is>
      </c>
      <c r="BD717" t="inlineStr">
        <is>
          <t>893872047</t>
        </is>
      </c>
    </row>
    <row r="718">
      <c r="A718" t="inlineStr">
        <is>
          <t>No</t>
        </is>
      </c>
      <c r="B718" t="inlineStr">
        <is>
          <t>PL717 .P8</t>
        </is>
      </c>
      <c r="C718" t="inlineStr">
        <is>
          <t>0                      PL 0717000P  8</t>
        </is>
      </c>
      <c r="D718" t="inlineStr">
        <is>
          <t>Japanese literature; a historical outline / Adapted [and translated by] Edward Putzar from Nihon bungaku, Hisamatsu Senʼichi, gen. ed.</t>
        </is>
      </c>
      <c r="F718" t="inlineStr">
        <is>
          <t>No</t>
        </is>
      </c>
      <c r="G718" t="inlineStr">
        <is>
          <t>1</t>
        </is>
      </c>
      <c r="H718" t="inlineStr">
        <is>
          <t>No</t>
        </is>
      </c>
      <c r="I718" t="inlineStr">
        <is>
          <t>No</t>
        </is>
      </c>
      <c r="J718" t="inlineStr">
        <is>
          <t>0</t>
        </is>
      </c>
      <c r="K718" t="inlineStr">
        <is>
          <t>Putzar, Edward.</t>
        </is>
      </c>
      <c r="L718" t="inlineStr">
        <is>
          <t>Tucson : University of Arizona Press, 1973.</t>
        </is>
      </c>
      <c r="M718" t="inlineStr">
        <is>
          <t>1973</t>
        </is>
      </c>
      <c r="O718" t="inlineStr">
        <is>
          <t>eng</t>
        </is>
      </c>
      <c r="P718" t="inlineStr">
        <is>
          <t>azu</t>
        </is>
      </c>
      <c r="R718" t="inlineStr">
        <is>
          <t xml:space="preserve">PL </t>
        </is>
      </c>
      <c r="S718" t="n">
        <v>19</v>
      </c>
      <c r="T718" t="n">
        <v>19</v>
      </c>
      <c r="U718" t="inlineStr">
        <is>
          <t>2005-11-09</t>
        </is>
      </c>
      <c r="V718" t="inlineStr">
        <is>
          <t>2005-11-09</t>
        </is>
      </c>
      <c r="W718" t="inlineStr">
        <is>
          <t>1992-03-09</t>
        </is>
      </c>
      <c r="X718" t="inlineStr">
        <is>
          <t>1992-03-09</t>
        </is>
      </c>
      <c r="Y718" t="n">
        <v>423</v>
      </c>
      <c r="Z718" t="n">
        <v>364</v>
      </c>
      <c r="AA718" t="n">
        <v>373</v>
      </c>
      <c r="AB718" t="n">
        <v>3</v>
      </c>
      <c r="AC718" t="n">
        <v>3</v>
      </c>
      <c r="AD718" t="n">
        <v>15</v>
      </c>
      <c r="AE718" t="n">
        <v>17</v>
      </c>
      <c r="AF718" t="n">
        <v>8</v>
      </c>
      <c r="AG718" t="n">
        <v>10</v>
      </c>
      <c r="AH718" t="n">
        <v>2</v>
      </c>
      <c r="AI718" t="n">
        <v>2</v>
      </c>
      <c r="AJ718" t="n">
        <v>8</v>
      </c>
      <c r="AK718" t="n">
        <v>8</v>
      </c>
      <c r="AL718" t="n">
        <v>2</v>
      </c>
      <c r="AM718" t="n">
        <v>2</v>
      </c>
      <c r="AN718" t="n">
        <v>0</v>
      </c>
      <c r="AO718" t="n">
        <v>0</v>
      </c>
      <c r="AP718" t="inlineStr">
        <is>
          <t>No</t>
        </is>
      </c>
      <c r="AQ718" t="inlineStr">
        <is>
          <t>Yes</t>
        </is>
      </c>
      <c r="AR718">
        <f>HYPERLINK("http://catalog.hathitrust.org/Record/000699852","HathiTrust Record")</f>
        <v/>
      </c>
      <c r="AS718">
        <f>HYPERLINK("https://creighton-primo.hosted.exlibrisgroup.com/primo-explore/search?tab=default_tab&amp;search_scope=EVERYTHING&amp;vid=01CRU&amp;lang=en_US&amp;offset=0&amp;query=any,contains,991002989939702656","Catalog Record")</f>
        <v/>
      </c>
      <c r="AT718">
        <f>HYPERLINK("http://www.worldcat.org/oclc/560057","WorldCat Record")</f>
        <v/>
      </c>
      <c r="AU718" t="inlineStr">
        <is>
          <t>1631938:eng</t>
        </is>
      </c>
      <c r="AV718" t="inlineStr">
        <is>
          <t>560057</t>
        </is>
      </c>
      <c r="AW718" t="inlineStr">
        <is>
          <t>991002989939702656</t>
        </is>
      </c>
      <c r="AX718" t="inlineStr">
        <is>
          <t>991002989939702656</t>
        </is>
      </c>
      <c r="AY718" t="inlineStr">
        <is>
          <t>2256667710002656</t>
        </is>
      </c>
      <c r="AZ718" t="inlineStr">
        <is>
          <t>BOOK</t>
        </is>
      </c>
      <c r="BB718" t="inlineStr">
        <is>
          <t>9780816503575</t>
        </is>
      </c>
      <c r="BC718" t="inlineStr">
        <is>
          <t>32285005071930</t>
        </is>
      </c>
      <c r="BD718" t="inlineStr">
        <is>
          <t>893799250</t>
        </is>
      </c>
    </row>
    <row r="719">
      <c r="A719" t="inlineStr">
        <is>
          <t>No</t>
        </is>
      </c>
      <c r="B719" t="inlineStr">
        <is>
          <t>PL717 .R5 1991</t>
        </is>
      </c>
      <c r="C719" t="inlineStr">
        <is>
          <t>0                      PL 0717000R  5           1991</t>
        </is>
      </c>
      <c r="D719" t="inlineStr">
        <is>
          <t>A reader's guide to Japanese literature / J. Thomas Rimer.</t>
        </is>
      </c>
      <c r="F719" t="inlineStr">
        <is>
          <t>No</t>
        </is>
      </c>
      <c r="G719" t="inlineStr">
        <is>
          <t>1</t>
        </is>
      </c>
      <c r="H719" t="inlineStr">
        <is>
          <t>No</t>
        </is>
      </c>
      <c r="I719" t="inlineStr">
        <is>
          <t>Yes</t>
        </is>
      </c>
      <c r="J719" t="inlineStr">
        <is>
          <t>0</t>
        </is>
      </c>
      <c r="K719" t="inlineStr">
        <is>
          <t>Rimer, J. Thomas.</t>
        </is>
      </c>
      <c r="L719" t="inlineStr">
        <is>
          <t>Tokyo ; New York : Kodansha International, 1991, c1988.</t>
        </is>
      </c>
      <c r="M719" t="inlineStr">
        <is>
          <t>1991</t>
        </is>
      </c>
      <c r="O719" t="inlineStr">
        <is>
          <t>eng</t>
        </is>
      </c>
      <c r="P719" t="inlineStr">
        <is>
          <t xml:space="preserve">no </t>
        </is>
      </c>
      <c r="R719" t="inlineStr">
        <is>
          <t xml:space="preserve">PL </t>
        </is>
      </c>
      <c r="S719" t="n">
        <v>15</v>
      </c>
      <c r="T719" t="n">
        <v>15</v>
      </c>
      <c r="U719" t="inlineStr">
        <is>
          <t>2008-06-08</t>
        </is>
      </c>
      <c r="V719" t="inlineStr">
        <is>
          <t>2008-06-08</t>
        </is>
      </c>
      <c r="W719" t="inlineStr">
        <is>
          <t>1993-10-21</t>
        </is>
      </c>
      <c r="X719" t="inlineStr">
        <is>
          <t>1993-10-21</t>
        </is>
      </c>
      <c r="Y719" t="n">
        <v>121</v>
      </c>
      <c r="Z719" t="n">
        <v>76</v>
      </c>
      <c r="AA719" t="n">
        <v>809</v>
      </c>
      <c r="AB719" t="n">
        <v>2</v>
      </c>
      <c r="AC719" t="n">
        <v>7</v>
      </c>
      <c r="AD719" t="n">
        <v>7</v>
      </c>
      <c r="AE719" t="n">
        <v>34</v>
      </c>
      <c r="AF719" t="n">
        <v>4</v>
      </c>
      <c r="AG719" t="n">
        <v>11</v>
      </c>
      <c r="AH719" t="n">
        <v>0</v>
      </c>
      <c r="AI719" t="n">
        <v>9</v>
      </c>
      <c r="AJ719" t="n">
        <v>5</v>
      </c>
      <c r="AK719" t="n">
        <v>15</v>
      </c>
      <c r="AL719" t="n">
        <v>1</v>
      </c>
      <c r="AM719" t="n">
        <v>6</v>
      </c>
      <c r="AN719" t="n">
        <v>0</v>
      </c>
      <c r="AO719" t="n">
        <v>0</v>
      </c>
      <c r="AP719" t="inlineStr">
        <is>
          <t>No</t>
        </is>
      </c>
      <c r="AQ719" t="inlineStr">
        <is>
          <t>No</t>
        </is>
      </c>
      <c r="AS719">
        <f>HYPERLINK("https://creighton-primo.hosted.exlibrisgroup.com/primo-explore/search?tab=default_tab&amp;search_scope=EVERYTHING&amp;vid=01CRU&amp;lang=en_US&amp;offset=0&amp;query=any,contains,991001919549702656","Catalog Record")</f>
        <v/>
      </c>
      <c r="AT719">
        <f>HYPERLINK("http://www.worldcat.org/oclc/24230958","WorldCat Record")</f>
        <v/>
      </c>
      <c r="AU719" t="inlineStr">
        <is>
          <t>918860:eng</t>
        </is>
      </c>
      <c r="AV719" t="inlineStr">
        <is>
          <t>24230958</t>
        </is>
      </c>
      <c r="AW719" t="inlineStr">
        <is>
          <t>991001919549702656</t>
        </is>
      </c>
      <c r="AX719" t="inlineStr">
        <is>
          <t>991001919549702656</t>
        </is>
      </c>
      <c r="AY719" t="inlineStr">
        <is>
          <t>2262388670002656</t>
        </is>
      </c>
      <c r="AZ719" t="inlineStr">
        <is>
          <t>BOOK</t>
        </is>
      </c>
      <c r="BB719" t="inlineStr">
        <is>
          <t>9784770014771</t>
        </is>
      </c>
      <c r="BC719" t="inlineStr">
        <is>
          <t>32285001787109</t>
        </is>
      </c>
      <c r="BD719" t="inlineStr">
        <is>
          <t>893797931</t>
        </is>
      </c>
    </row>
    <row r="720">
      <c r="A720" t="inlineStr">
        <is>
          <t>No</t>
        </is>
      </c>
      <c r="B720" t="inlineStr">
        <is>
          <t>PL717 .R5 1999</t>
        </is>
      </c>
      <c r="C720" t="inlineStr">
        <is>
          <t>0                      PL 0717000R  5           1999</t>
        </is>
      </c>
      <c r="D720" t="inlineStr">
        <is>
          <t>A reader's guide to Japanese literature / J. Thomas Rimer.</t>
        </is>
      </c>
      <c r="F720" t="inlineStr">
        <is>
          <t>No</t>
        </is>
      </c>
      <c r="G720" t="inlineStr">
        <is>
          <t>1</t>
        </is>
      </c>
      <c r="H720" t="inlineStr">
        <is>
          <t>No</t>
        </is>
      </c>
      <c r="I720" t="inlineStr">
        <is>
          <t>Yes</t>
        </is>
      </c>
      <c r="J720" t="inlineStr">
        <is>
          <t>0</t>
        </is>
      </c>
      <c r="K720" t="inlineStr">
        <is>
          <t>Rimer, J. Thomas.</t>
        </is>
      </c>
      <c r="L720" t="inlineStr">
        <is>
          <t>Tokyo ; New York : Kodansha International, 1999.</t>
        </is>
      </c>
      <c r="M720" t="inlineStr">
        <is>
          <t>1999</t>
        </is>
      </c>
      <c r="N720" t="inlineStr">
        <is>
          <t>2nd ed.</t>
        </is>
      </c>
      <c r="O720" t="inlineStr">
        <is>
          <t>eng</t>
        </is>
      </c>
      <c r="P720" t="inlineStr">
        <is>
          <t xml:space="preserve">ja </t>
        </is>
      </c>
      <c r="R720" t="inlineStr">
        <is>
          <t xml:space="preserve">PL </t>
        </is>
      </c>
      <c r="S720" t="n">
        <v>8</v>
      </c>
      <c r="T720" t="n">
        <v>8</v>
      </c>
      <c r="U720" t="inlineStr">
        <is>
          <t>2009-04-22</t>
        </is>
      </c>
      <c r="V720" t="inlineStr">
        <is>
          <t>2009-04-22</t>
        </is>
      </c>
      <c r="W720" t="inlineStr">
        <is>
          <t>1999-10-18</t>
        </is>
      </c>
      <c r="X720" t="inlineStr">
        <is>
          <t>1999-10-18</t>
        </is>
      </c>
      <c r="Y720" t="n">
        <v>227</v>
      </c>
      <c r="Z720" t="n">
        <v>184</v>
      </c>
      <c r="AA720" t="n">
        <v>809</v>
      </c>
      <c r="AB720" t="n">
        <v>2</v>
      </c>
      <c r="AC720" t="n">
        <v>7</v>
      </c>
      <c r="AD720" t="n">
        <v>9</v>
      </c>
      <c r="AE720" t="n">
        <v>34</v>
      </c>
      <c r="AF720" t="n">
        <v>3</v>
      </c>
      <c r="AG720" t="n">
        <v>11</v>
      </c>
      <c r="AH720" t="n">
        <v>4</v>
      </c>
      <c r="AI720" t="n">
        <v>9</v>
      </c>
      <c r="AJ720" t="n">
        <v>3</v>
      </c>
      <c r="AK720" t="n">
        <v>15</v>
      </c>
      <c r="AL720" t="n">
        <v>1</v>
      </c>
      <c r="AM720" t="n">
        <v>6</v>
      </c>
      <c r="AN720" t="n">
        <v>0</v>
      </c>
      <c r="AO720" t="n">
        <v>0</v>
      </c>
      <c r="AP720" t="inlineStr">
        <is>
          <t>No</t>
        </is>
      </c>
      <c r="AQ720" t="inlineStr">
        <is>
          <t>No</t>
        </is>
      </c>
      <c r="AS720">
        <f>HYPERLINK("https://creighton-primo.hosted.exlibrisgroup.com/primo-explore/search?tab=default_tab&amp;search_scope=EVERYTHING&amp;vid=01CRU&amp;lang=en_US&amp;offset=0&amp;query=any,contains,991003045919702656","Catalog Record")</f>
        <v/>
      </c>
      <c r="AT720">
        <f>HYPERLINK("http://www.worldcat.org/oclc/42549451","WorldCat Record")</f>
        <v/>
      </c>
      <c r="AU720" t="inlineStr">
        <is>
          <t>918860:eng</t>
        </is>
      </c>
      <c r="AV720" t="inlineStr">
        <is>
          <t>42549451</t>
        </is>
      </c>
      <c r="AW720" t="inlineStr">
        <is>
          <t>991003045919702656</t>
        </is>
      </c>
      <c r="AX720" t="inlineStr">
        <is>
          <t>991003045919702656</t>
        </is>
      </c>
      <c r="AY720" t="inlineStr">
        <is>
          <t>2270945680002656</t>
        </is>
      </c>
      <c r="AZ720" t="inlineStr">
        <is>
          <t>BOOK</t>
        </is>
      </c>
      <c r="BB720" t="inlineStr">
        <is>
          <t>9784770023599</t>
        </is>
      </c>
      <c r="BC720" t="inlineStr">
        <is>
          <t>32285003611596</t>
        </is>
      </c>
      <c r="BD720" t="inlineStr">
        <is>
          <t>893880768</t>
        </is>
      </c>
    </row>
    <row r="721">
      <c r="A721" t="inlineStr">
        <is>
          <t>No</t>
        </is>
      </c>
      <c r="B721" t="inlineStr">
        <is>
          <t>PL726.1 .K44 1988</t>
        </is>
      </c>
      <c r="C721" t="inlineStr">
        <is>
          <t>0                      PL 0726100K  44          1988</t>
        </is>
      </c>
      <c r="D721" t="inlineStr">
        <is>
          <t>The pleasures of Japanese literature / Donald Keene.</t>
        </is>
      </c>
      <c r="F721" t="inlineStr">
        <is>
          <t>No</t>
        </is>
      </c>
      <c r="G721" t="inlineStr">
        <is>
          <t>1</t>
        </is>
      </c>
      <c r="H721" t="inlineStr">
        <is>
          <t>No</t>
        </is>
      </c>
      <c r="I721" t="inlineStr">
        <is>
          <t>No</t>
        </is>
      </c>
      <c r="J721" t="inlineStr">
        <is>
          <t>0</t>
        </is>
      </c>
      <c r="K721" t="inlineStr">
        <is>
          <t>Keene, Donald.</t>
        </is>
      </c>
      <c r="L721" t="inlineStr">
        <is>
          <t>New York : Columbia University Press, c1988.</t>
        </is>
      </c>
      <c r="M721" t="inlineStr">
        <is>
          <t>1988</t>
        </is>
      </c>
      <c r="O721" t="inlineStr">
        <is>
          <t>eng</t>
        </is>
      </c>
      <c r="P721" t="inlineStr">
        <is>
          <t>nyu</t>
        </is>
      </c>
      <c r="Q721" t="inlineStr">
        <is>
          <t>Companions to Asian studies</t>
        </is>
      </c>
      <c r="R721" t="inlineStr">
        <is>
          <t xml:space="preserve">PL </t>
        </is>
      </c>
      <c r="S721" t="n">
        <v>14</v>
      </c>
      <c r="T721" t="n">
        <v>14</v>
      </c>
      <c r="U721" t="inlineStr">
        <is>
          <t>2005-12-14</t>
        </is>
      </c>
      <c r="V721" t="inlineStr">
        <is>
          <t>2005-12-14</t>
        </is>
      </c>
      <c r="W721" t="inlineStr">
        <is>
          <t>1993-08-24</t>
        </is>
      </c>
      <c r="X721" t="inlineStr">
        <is>
          <t>1993-08-24</t>
        </is>
      </c>
      <c r="Y721" t="n">
        <v>1412</v>
      </c>
      <c r="Z721" t="n">
        <v>1215</v>
      </c>
      <c r="AA721" t="n">
        <v>1220</v>
      </c>
      <c r="AB721" t="n">
        <v>9</v>
      </c>
      <c r="AC721" t="n">
        <v>9</v>
      </c>
      <c r="AD721" t="n">
        <v>39</v>
      </c>
      <c r="AE721" t="n">
        <v>39</v>
      </c>
      <c r="AF721" t="n">
        <v>16</v>
      </c>
      <c r="AG721" t="n">
        <v>16</v>
      </c>
      <c r="AH721" t="n">
        <v>9</v>
      </c>
      <c r="AI721" t="n">
        <v>9</v>
      </c>
      <c r="AJ721" t="n">
        <v>21</v>
      </c>
      <c r="AK721" t="n">
        <v>21</v>
      </c>
      <c r="AL721" t="n">
        <v>5</v>
      </c>
      <c r="AM721" t="n">
        <v>5</v>
      </c>
      <c r="AN721" t="n">
        <v>0</v>
      </c>
      <c r="AO721" t="n">
        <v>0</v>
      </c>
      <c r="AP721" t="inlineStr">
        <is>
          <t>No</t>
        </is>
      </c>
      <c r="AQ721" t="inlineStr">
        <is>
          <t>No</t>
        </is>
      </c>
      <c r="AS721">
        <f>HYPERLINK("https://creighton-primo.hosted.exlibrisgroup.com/primo-explore/search?tab=default_tab&amp;search_scope=EVERYTHING&amp;vid=01CRU&amp;lang=en_US&amp;offset=0&amp;query=any,contains,991001300259702656","Catalog Record")</f>
        <v/>
      </c>
      <c r="AT721">
        <f>HYPERLINK("http://www.worldcat.org/oclc/18068964","WorldCat Record")</f>
        <v/>
      </c>
      <c r="AU721" t="inlineStr">
        <is>
          <t>3856123044:eng</t>
        </is>
      </c>
      <c r="AV721" t="inlineStr">
        <is>
          <t>18068964</t>
        </is>
      </c>
      <c r="AW721" t="inlineStr">
        <is>
          <t>991001300259702656</t>
        </is>
      </c>
      <c r="AX721" t="inlineStr">
        <is>
          <t>991001300259702656</t>
        </is>
      </c>
      <c r="AY721" t="inlineStr">
        <is>
          <t>2262997750002656</t>
        </is>
      </c>
      <c r="AZ721" t="inlineStr">
        <is>
          <t>BOOK</t>
        </is>
      </c>
      <c r="BB721" t="inlineStr">
        <is>
          <t>9780231067362</t>
        </is>
      </c>
      <c r="BC721" t="inlineStr">
        <is>
          <t>32285001728087</t>
        </is>
      </c>
      <c r="BD721" t="inlineStr">
        <is>
          <t>893503303</t>
        </is>
      </c>
    </row>
    <row r="722">
      <c r="A722" t="inlineStr">
        <is>
          <t>No</t>
        </is>
      </c>
      <c r="B722" t="inlineStr">
        <is>
          <t>PL726.1 .M495 1985</t>
        </is>
      </c>
      <c r="C722" t="inlineStr">
        <is>
          <t>0                      PL 0726100M  495         1985</t>
        </is>
      </c>
      <c r="D722" t="inlineStr">
        <is>
          <t>The Princeton companion to classical Japanese literature / by Earl Miner, Hiroko Odagiri, and Robert E. Morrell.</t>
        </is>
      </c>
      <c r="F722" t="inlineStr">
        <is>
          <t>No</t>
        </is>
      </c>
      <c r="G722" t="inlineStr">
        <is>
          <t>1</t>
        </is>
      </c>
      <c r="H722" t="inlineStr">
        <is>
          <t>No</t>
        </is>
      </c>
      <c r="I722" t="inlineStr">
        <is>
          <t>No</t>
        </is>
      </c>
      <c r="J722" t="inlineStr">
        <is>
          <t>0</t>
        </is>
      </c>
      <c r="K722" t="inlineStr">
        <is>
          <t>Miner, Earl, 1927-2004.</t>
        </is>
      </c>
      <c r="L722" t="inlineStr">
        <is>
          <t>Princeton, N.J. : Princeton University Press, c1985.</t>
        </is>
      </c>
      <c r="M722" t="inlineStr">
        <is>
          <t>1985</t>
        </is>
      </c>
      <c r="O722" t="inlineStr">
        <is>
          <t>eng</t>
        </is>
      </c>
      <c r="P722" t="inlineStr">
        <is>
          <t>nju</t>
        </is>
      </c>
      <c r="R722" t="inlineStr">
        <is>
          <t xml:space="preserve">PL </t>
        </is>
      </c>
      <c r="S722" t="n">
        <v>18</v>
      </c>
      <c r="T722" t="n">
        <v>18</v>
      </c>
      <c r="U722" t="inlineStr">
        <is>
          <t>2004-09-30</t>
        </is>
      </c>
      <c r="V722" t="inlineStr">
        <is>
          <t>2004-09-30</t>
        </is>
      </c>
      <c r="W722" t="inlineStr">
        <is>
          <t>1992-01-20</t>
        </is>
      </c>
      <c r="X722" t="inlineStr">
        <is>
          <t>1992-01-20</t>
        </is>
      </c>
      <c r="Y722" t="n">
        <v>800</v>
      </c>
      <c r="Z722" t="n">
        <v>676</v>
      </c>
      <c r="AA722" t="n">
        <v>854</v>
      </c>
      <c r="AB722" t="n">
        <v>6</v>
      </c>
      <c r="AC722" t="n">
        <v>6</v>
      </c>
      <c r="AD722" t="n">
        <v>32</v>
      </c>
      <c r="AE722" t="n">
        <v>39</v>
      </c>
      <c r="AF722" t="n">
        <v>14</v>
      </c>
      <c r="AG722" t="n">
        <v>20</v>
      </c>
      <c r="AH722" t="n">
        <v>8</v>
      </c>
      <c r="AI722" t="n">
        <v>10</v>
      </c>
      <c r="AJ722" t="n">
        <v>12</v>
      </c>
      <c r="AK722" t="n">
        <v>15</v>
      </c>
      <c r="AL722" t="n">
        <v>5</v>
      </c>
      <c r="AM722" t="n">
        <v>5</v>
      </c>
      <c r="AN722" t="n">
        <v>0</v>
      </c>
      <c r="AO722" t="n">
        <v>0</v>
      </c>
      <c r="AP722" t="inlineStr">
        <is>
          <t>No</t>
        </is>
      </c>
      <c r="AQ722" t="inlineStr">
        <is>
          <t>No</t>
        </is>
      </c>
      <c r="AS722">
        <f>HYPERLINK("https://creighton-primo.hosted.exlibrisgroup.com/primo-explore/search?tab=default_tab&amp;search_scope=EVERYTHING&amp;vid=01CRU&amp;lang=en_US&amp;offset=0&amp;query=any,contains,991000320029702656","Catalog Record")</f>
        <v/>
      </c>
      <c r="AT722">
        <f>HYPERLINK("http://www.worldcat.org/oclc/10146210","WorldCat Record")</f>
        <v/>
      </c>
      <c r="AU722" t="inlineStr">
        <is>
          <t>3592756:eng</t>
        </is>
      </c>
      <c r="AV722" t="inlineStr">
        <is>
          <t>10146210</t>
        </is>
      </c>
      <c r="AW722" t="inlineStr">
        <is>
          <t>991000320029702656</t>
        </is>
      </c>
      <c r="AX722" t="inlineStr">
        <is>
          <t>991000320029702656</t>
        </is>
      </c>
      <c r="AY722" t="inlineStr">
        <is>
          <t>2255853840002656</t>
        </is>
      </c>
      <c r="AZ722" t="inlineStr">
        <is>
          <t>BOOK</t>
        </is>
      </c>
      <c r="BB722" t="inlineStr">
        <is>
          <t>9780691065991</t>
        </is>
      </c>
      <c r="BC722" t="inlineStr">
        <is>
          <t>32285000915966</t>
        </is>
      </c>
      <c r="BD722" t="inlineStr">
        <is>
          <t>893796556</t>
        </is>
      </c>
    </row>
    <row r="723">
      <c r="A723" t="inlineStr">
        <is>
          <t>No</t>
        </is>
      </c>
      <c r="B723" t="inlineStr">
        <is>
          <t>PL726.115 .I3713 1979</t>
        </is>
      </c>
      <c r="C723" t="inlineStr">
        <is>
          <t>0                      PL 0726115I  3713        1979</t>
        </is>
      </c>
      <c r="D723" t="inlineStr">
        <is>
          <t>On the Japanese classics : conversations and appreciations / by Daisaku Ikeda in association with Makoto Nemoto ; translated by Burton Watson.</t>
        </is>
      </c>
      <c r="F723" t="inlineStr">
        <is>
          <t>No</t>
        </is>
      </c>
      <c r="G723" t="inlineStr">
        <is>
          <t>1</t>
        </is>
      </c>
      <c r="H723" t="inlineStr">
        <is>
          <t>No</t>
        </is>
      </c>
      <c r="I723" t="inlineStr">
        <is>
          <t>No</t>
        </is>
      </c>
      <c r="J723" t="inlineStr">
        <is>
          <t>0</t>
        </is>
      </c>
      <c r="K723" t="inlineStr">
        <is>
          <t>Ikeda, Daisaku.</t>
        </is>
      </c>
      <c r="L723" t="inlineStr">
        <is>
          <t>New York : Weatherhill, 1979.</t>
        </is>
      </c>
      <c r="M723" t="inlineStr">
        <is>
          <t>1979</t>
        </is>
      </c>
      <c r="N723" t="inlineStr">
        <is>
          <t>1st English ed.</t>
        </is>
      </c>
      <c r="O723" t="inlineStr">
        <is>
          <t>eng</t>
        </is>
      </c>
      <c r="P723" t="inlineStr">
        <is>
          <t>nyu</t>
        </is>
      </c>
      <c r="R723" t="inlineStr">
        <is>
          <t xml:space="preserve">PL </t>
        </is>
      </c>
      <c r="S723" t="n">
        <v>13</v>
      </c>
      <c r="T723" t="n">
        <v>13</v>
      </c>
      <c r="U723" t="inlineStr">
        <is>
          <t>1999-03-19</t>
        </is>
      </c>
      <c r="V723" t="inlineStr">
        <is>
          <t>1999-03-19</t>
        </is>
      </c>
      <c r="W723" t="inlineStr">
        <is>
          <t>1990-03-23</t>
        </is>
      </c>
      <c r="X723" t="inlineStr">
        <is>
          <t>1990-03-23</t>
        </is>
      </c>
      <c r="Y723" t="n">
        <v>539</v>
      </c>
      <c r="Z723" t="n">
        <v>366</v>
      </c>
      <c r="AA723" t="n">
        <v>370</v>
      </c>
      <c r="AB723" t="n">
        <v>3</v>
      </c>
      <c r="AC723" t="n">
        <v>3</v>
      </c>
      <c r="AD723" t="n">
        <v>10</v>
      </c>
      <c r="AE723" t="n">
        <v>10</v>
      </c>
      <c r="AF723" t="n">
        <v>2</v>
      </c>
      <c r="AG723" t="n">
        <v>2</v>
      </c>
      <c r="AH723" t="n">
        <v>3</v>
      </c>
      <c r="AI723" t="n">
        <v>3</v>
      </c>
      <c r="AJ723" t="n">
        <v>6</v>
      </c>
      <c r="AK723" t="n">
        <v>6</v>
      </c>
      <c r="AL723" t="n">
        <v>2</v>
      </c>
      <c r="AM723" t="n">
        <v>2</v>
      </c>
      <c r="AN723" t="n">
        <v>0</v>
      </c>
      <c r="AO723" t="n">
        <v>0</v>
      </c>
      <c r="AP723" t="inlineStr">
        <is>
          <t>No</t>
        </is>
      </c>
      <c r="AQ723" t="inlineStr">
        <is>
          <t>Yes</t>
        </is>
      </c>
      <c r="AR723">
        <f>HYPERLINK("http://catalog.hathitrust.org/Record/000714311","HathiTrust Record")</f>
        <v/>
      </c>
      <c r="AS723">
        <f>HYPERLINK("https://creighton-primo.hosted.exlibrisgroup.com/primo-explore/search?tab=default_tab&amp;search_scope=EVERYTHING&amp;vid=01CRU&amp;lang=en_US&amp;offset=0&amp;query=any,contains,991004648159702656","Catalog Record")</f>
        <v/>
      </c>
      <c r="AT723">
        <f>HYPERLINK("http://www.worldcat.org/oclc/4492834","WorldCat Record")</f>
        <v/>
      </c>
      <c r="AU723" t="inlineStr">
        <is>
          <t>792227499:eng</t>
        </is>
      </c>
      <c r="AV723" t="inlineStr">
        <is>
          <t>4492834</t>
        </is>
      </c>
      <c r="AW723" t="inlineStr">
        <is>
          <t>991004648159702656</t>
        </is>
      </c>
      <c r="AX723" t="inlineStr">
        <is>
          <t>991004648159702656</t>
        </is>
      </c>
      <c r="AY723" t="inlineStr">
        <is>
          <t>2263400370002656</t>
        </is>
      </c>
      <c r="AZ723" t="inlineStr">
        <is>
          <t>BOOK</t>
        </is>
      </c>
      <c r="BB723" t="inlineStr">
        <is>
          <t>9780834801400</t>
        </is>
      </c>
      <c r="BC723" t="inlineStr">
        <is>
          <t>32285000021682</t>
        </is>
      </c>
      <c r="BD723" t="inlineStr">
        <is>
          <t>893507088</t>
        </is>
      </c>
    </row>
    <row r="724">
      <c r="A724" t="inlineStr">
        <is>
          <t>No</t>
        </is>
      </c>
      <c r="B724" t="inlineStr">
        <is>
          <t>PL726.35 .K4 1999</t>
        </is>
      </c>
      <c r="C724" t="inlineStr">
        <is>
          <t>0                      PL 0726350K  4           1999</t>
        </is>
      </c>
      <c r="D724" t="inlineStr">
        <is>
          <t>World within walls : Japanese literature of the pre-modern era, 1600-1867 / Donald Keene, with a new preface by the author.</t>
        </is>
      </c>
      <c r="F724" t="inlineStr">
        <is>
          <t>No</t>
        </is>
      </c>
      <c r="G724" t="inlineStr">
        <is>
          <t>1</t>
        </is>
      </c>
      <c r="H724" t="inlineStr">
        <is>
          <t>No</t>
        </is>
      </c>
      <c r="I724" t="inlineStr">
        <is>
          <t>Yes</t>
        </is>
      </c>
      <c r="J724" t="inlineStr">
        <is>
          <t>0</t>
        </is>
      </c>
      <c r="K724" t="inlineStr">
        <is>
          <t>Keene, Donald.</t>
        </is>
      </c>
      <c r="L724" t="inlineStr">
        <is>
          <t>New York : Columbia University Press, 1999.</t>
        </is>
      </c>
      <c r="M724" t="inlineStr">
        <is>
          <t>1999</t>
        </is>
      </c>
      <c r="O724" t="inlineStr">
        <is>
          <t>eng</t>
        </is>
      </c>
      <c r="P724" t="inlineStr">
        <is>
          <t>nyu</t>
        </is>
      </c>
      <c r="Q724" t="inlineStr">
        <is>
          <t>History of Japanese literature ; v. 2</t>
        </is>
      </c>
      <c r="R724" t="inlineStr">
        <is>
          <t xml:space="preserve">PL </t>
        </is>
      </c>
      <c r="S724" t="n">
        <v>1</v>
      </c>
      <c r="T724" t="n">
        <v>1</v>
      </c>
      <c r="U724" t="inlineStr">
        <is>
          <t>2010-03-15</t>
        </is>
      </c>
      <c r="V724" t="inlineStr">
        <is>
          <t>2010-03-15</t>
        </is>
      </c>
      <c r="W724" t="inlineStr">
        <is>
          <t>1999-12-09</t>
        </is>
      </c>
      <c r="X724" t="inlineStr">
        <is>
          <t>1999-12-09</t>
        </is>
      </c>
      <c r="Y724" t="n">
        <v>162</v>
      </c>
      <c r="Z724" t="n">
        <v>133</v>
      </c>
      <c r="AA724" t="n">
        <v>831</v>
      </c>
      <c r="AB724" t="n">
        <v>1</v>
      </c>
      <c r="AC724" t="n">
        <v>5</v>
      </c>
      <c r="AD724" t="n">
        <v>5</v>
      </c>
      <c r="AE724" t="n">
        <v>37</v>
      </c>
      <c r="AF724" t="n">
        <v>3</v>
      </c>
      <c r="AG724" t="n">
        <v>15</v>
      </c>
      <c r="AH724" t="n">
        <v>2</v>
      </c>
      <c r="AI724" t="n">
        <v>8</v>
      </c>
      <c r="AJ724" t="n">
        <v>2</v>
      </c>
      <c r="AK724" t="n">
        <v>19</v>
      </c>
      <c r="AL724" t="n">
        <v>0</v>
      </c>
      <c r="AM724" t="n">
        <v>4</v>
      </c>
      <c r="AN724" t="n">
        <v>0</v>
      </c>
      <c r="AO724" t="n">
        <v>0</v>
      </c>
      <c r="AP724" t="inlineStr">
        <is>
          <t>No</t>
        </is>
      </c>
      <c r="AQ724" t="inlineStr">
        <is>
          <t>No</t>
        </is>
      </c>
      <c r="AS724">
        <f>HYPERLINK("https://creighton-primo.hosted.exlibrisgroup.com/primo-explore/search?tab=default_tab&amp;search_scope=EVERYTHING&amp;vid=01CRU&amp;lang=en_US&amp;offset=0&amp;query=any,contains,991003018519702656","Catalog Record")</f>
        <v/>
      </c>
      <c r="AT724">
        <f>HYPERLINK("http://www.worldcat.org/oclc/41090684","WorldCat Record")</f>
        <v/>
      </c>
      <c r="AU724" t="inlineStr">
        <is>
          <t>836964389:eng</t>
        </is>
      </c>
      <c r="AV724" t="inlineStr">
        <is>
          <t>41090684</t>
        </is>
      </c>
      <c r="AW724" t="inlineStr">
        <is>
          <t>991003018519702656</t>
        </is>
      </c>
      <c r="AX724" t="inlineStr">
        <is>
          <t>991003018519702656</t>
        </is>
      </c>
      <c r="AY724" t="inlineStr">
        <is>
          <t>2265876770002656</t>
        </is>
      </c>
      <c r="AZ724" t="inlineStr">
        <is>
          <t>BOOK</t>
        </is>
      </c>
      <c r="BB724" t="inlineStr">
        <is>
          <t>9780231114677</t>
        </is>
      </c>
      <c r="BC724" t="inlineStr">
        <is>
          <t>32285003630505</t>
        </is>
      </c>
      <c r="BD724" t="inlineStr">
        <is>
          <t>893505112</t>
        </is>
      </c>
    </row>
    <row r="725">
      <c r="A725" t="inlineStr">
        <is>
          <t>No</t>
        </is>
      </c>
      <c r="B725" t="inlineStr">
        <is>
          <t>PL726.55 .K39 1984</t>
        </is>
      </c>
      <c r="C725" t="inlineStr">
        <is>
          <t>0                      PL 0726550K  39          1984</t>
        </is>
      </c>
      <c r="D725" t="inlineStr">
        <is>
          <t>Dawn to the West : Japanese literature of the modern era / Donald Keene.</t>
        </is>
      </c>
      <c r="E725" t="inlineStr">
        <is>
          <t>V.1</t>
        </is>
      </c>
      <c r="F725" t="inlineStr">
        <is>
          <t>Yes</t>
        </is>
      </c>
      <c r="G725" t="inlineStr">
        <is>
          <t>1</t>
        </is>
      </c>
      <c r="H725" t="inlineStr">
        <is>
          <t>No</t>
        </is>
      </c>
      <c r="I725" t="inlineStr">
        <is>
          <t>No</t>
        </is>
      </c>
      <c r="J725" t="inlineStr">
        <is>
          <t>0</t>
        </is>
      </c>
      <c r="K725" t="inlineStr">
        <is>
          <t>Keene, Donald.</t>
        </is>
      </c>
      <c r="L725" t="inlineStr">
        <is>
          <t>New York : Holt, Rinehart, and Winston, c1984.</t>
        </is>
      </c>
      <c r="M725" t="inlineStr">
        <is>
          <t>1984</t>
        </is>
      </c>
      <c r="N725" t="inlineStr">
        <is>
          <t>1st ed.</t>
        </is>
      </c>
      <c r="O725" t="inlineStr">
        <is>
          <t>eng</t>
        </is>
      </c>
      <c r="P725" t="inlineStr">
        <is>
          <t>nyu</t>
        </is>
      </c>
      <c r="R725" t="inlineStr">
        <is>
          <t xml:space="preserve">PL </t>
        </is>
      </c>
      <c r="S725" t="n">
        <v>11</v>
      </c>
      <c r="T725" t="n">
        <v>22</v>
      </c>
      <c r="U725" t="inlineStr">
        <is>
          <t>2010-03-19</t>
        </is>
      </c>
      <c r="V725" t="inlineStr">
        <is>
          <t>2010-03-19</t>
        </is>
      </c>
      <c r="W725" t="inlineStr">
        <is>
          <t>1993-05-04</t>
        </is>
      </c>
      <c r="X725" t="inlineStr">
        <is>
          <t>1993-05-04</t>
        </is>
      </c>
      <c r="Y725" t="n">
        <v>1020</v>
      </c>
      <c r="Z725" t="n">
        <v>899</v>
      </c>
      <c r="AA725" t="n">
        <v>1022</v>
      </c>
      <c r="AB725" t="n">
        <v>11</v>
      </c>
      <c r="AC725" t="n">
        <v>12</v>
      </c>
      <c r="AD725" t="n">
        <v>41</v>
      </c>
      <c r="AE725" t="n">
        <v>45</v>
      </c>
      <c r="AF725" t="n">
        <v>15</v>
      </c>
      <c r="AG725" t="n">
        <v>17</v>
      </c>
      <c r="AH725" t="n">
        <v>9</v>
      </c>
      <c r="AI725" t="n">
        <v>9</v>
      </c>
      <c r="AJ725" t="n">
        <v>19</v>
      </c>
      <c r="AK725" t="n">
        <v>21</v>
      </c>
      <c r="AL725" t="n">
        <v>10</v>
      </c>
      <c r="AM725" t="n">
        <v>11</v>
      </c>
      <c r="AN725" t="n">
        <v>0</v>
      </c>
      <c r="AO725" t="n">
        <v>0</v>
      </c>
      <c r="AP725" t="inlineStr">
        <is>
          <t>No</t>
        </is>
      </c>
      <c r="AQ725" t="inlineStr">
        <is>
          <t>No</t>
        </is>
      </c>
      <c r="AS725">
        <f>HYPERLINK("https://creighton-primo.hosted.exlibrisgroup.com/primo-explore/search?tab=default_tab&amp;search_scope=EVERYTHING&amp;vid=01CRU&amp;lang=en_US&amp;offset=0&amp;query=any,contains,991000060039702656","Catalog Record")</f>
        <v/>
      </c>
      <c r="AT725">
        <f>HYPERLINK("http://www.worldcat.org/oclc/8728400","WorldCat Record")</f>
        <v/>
      </c>
      <c r="AU725" t="inlineStr">
        <is>
          <t>1150980922:eng</t>
        </is>
      </c>
      <c r="AV725" t="inlineStr">
        <is>
          <t>8728400</t>
        </is>
      </c>
      <c r="AW725" t="inlineStr">
        <is>
          <t>991000060039702656</t>
        </is>
      </c>
      <c r="AX725" t="inlineStr">
        <is>
          <t>991000060039702656</t>
        </is>
      </c>
      <c r="AY725" t="inlineStr">
        <is>
          <t>2271302020002656</t>
        </is>
      </c>
      <c r="AZ725" t="inlineStr">
        <is>
          <t>BOOK</t>
        </is>
      </c>
      <c r="BB725" t="inlineStr">
        <is>
          <t>9780030628160</t>
        </is>
      </c>
      <c r="BC725" t="inlineStr">
        <is>
          <t>32285001671527</t>
        </is>
      </c>
      <c r="BD725" t="inlineStr">
        <is>
          <t>893720563</t>
        </is>
      </c>
    </row>
    <row r="726">
      <c r="A726" t="inlineStr">
        <is>
          <t>No</t>
        </is>
      </c>
      <c r="B726" t="inlineStr">
        <is>
          <t>PL726.55 .K39 1984</t>
        </is>
      </c>
      <c r="C726" t="inlineStr">
        <is>
          <t>0                      PL 0726550K  39          1984</t>
        </is>
      </c>
      <c r="D726" t="inlineStr">
        <is>
          <t>Dawn to the West : Japanese literature of the modern era / Donald Keene.</t>
        </is>
      </c>
      <c r="E726" t="inlineStr">
        <is>
          <t>V.2</t>
        </is>
      </c>
      <c r="F726" t="inlineStr">
        <is>
          <t>Yes</t>
        </is>
      </c>
      <c r="G726" t="inlineStr">
        <is>
          <t>1</t>
        </is>
      </c>
      <c r="H726" t="inlineStr">
        <is>
          <t>No</t>
        </is>
      </c>
      <c r="I726" t="inlineStr">
        <is>
          <t>No</t>
        </is>
      </c>
      <c r="J726" t="inlineStr">
        <is>
          <t>0</t>
        </is>
      </c>
      <c r="K726" t="inlineStr">
        <is>
          <t>Keene, Donald.</t>
        </is>
      </c>
      <c r="L726" t="inlineStr">
        <is>
          <t>New York : Holt, Rinehart, and Winston, c1984.</t>
        </is>
      </c>
      <c r="M726" t="inlineStr">
        <is>
          <t>1984</t>
        </is>
      </c>
      <c r="N726" t="inlineStr">
        <is>
          <t>1st ed.</t>
        </is>
      </c>
      <c r="O726" t="inlineStr">
        <is>
          <t>eng</t>
        </is>
      </c>
      <c r="P726" t="inlineStr">
        <is>
          <t>nyu</t>
        </is>
      </c>
      <c r="R726" t="inlineStr">
        <is>
          <t xml:space="preserve">PL </t>
        </is>
      </c>
      <c r="S726" t="n">
        <v>11</v>
      </c>
      <c r="T726" t="n">
        <v>22</v>
      </c>
      <c r="U726" t="inlineStr">
        <is>
          <t>2010-03-19</t>
        </is>
      </c>
      <c r="V726" t="inlineStr">
        <is>
          <t>2010-03-19</t>
        </is>
      </c>
      <c r="W726" t="inlineStr">
        <is>
          <t>1993-05-04</t>
        </is>
      </c>
      <c r="X726" t="inlineStr">
        <is>
          <t>1993-05-04</t>
        </is>
      </c>
      <c r="Y726" t="n">
        <v>1020</v>
      </c>
      <c r="Z726" t="n">
        <v>899</v>
      </c>
      <c r="AA726" t="n">
        <v>1022</v>
      </c>
      <c r="AB726" t="n">
        <v>11</v>
      </c>
      <c r="AC726" t="n">
        <v>12</v>
      </c>
      <c r="AD726" t="n">
        <v>41</v>
      </c>
      <c r="AE726" t="n">
        <v>45</v>
      </c>
      <c r="AF726" t="n">
        <v>15</v>
      </c>
      <c r="AG726" t="n">
        <v>17</v>
      </c>
      <c r="AH726" t="n">
        <v>9</v>
      </c>
      <c r="AI726" t="n">
        <v>9</v>
      </c>
      <c r="AJ726" t="n">
        <v>19</v>
      </c>
      <c r="AK726" t="n">
        <v>21</v>
      </c>
      <c r="AL726" t="n">
        <v>10</v>
      </c>
      <c r="AM726" t="n">
        <v>11</v>
      </c>
      <c r="AN726" t="n">
        <v>0</v>
      </c>
      <c r="AO726" t="n">
        <v>0</v>
      </c>
      <c r="AP726" t="inlineStr">
        <is>
          <t>No</t>
        </is>
      </c>
      <c r="AQ726" t="inlineStr">
        <is>
          <t>No</t>
        </is>
      </c>
      <c r="AS726">
        <f>HYPERLINK("https://creighton-primo.hosted.exlibrisgroup.com/primo-explore/search?tab=default_tab&amp;search_scope=EVERYTHING&amp;vid=01CRU&amp;lang=en_US&amp;offset=0&amp;query=any,contains,991000060039702656","Catalog Record")</f>
        <v/>
      </c>
      <c r="AT726">
        <f>HYPERLINK("http://www.worldcat.org/oclc/8728400","WorldCat Record")</f>
        <v/>
      </c>
      <c r="AU726" t="inlineStr">
        <is>
          <t>1150980922:eng</t>
        </is>
      </c>
      <c r="AV726" t="inlineStr">
        <is>
          <t>8728400</t>
        </is>
      </c>
      <c r="AW726" t="inlineStr">
        <is>
          <t>991000060039702656</t>
        </is>
      </c>
      <c r="AX726" t="inlineStr">
        <is>
          <t>991000060039702656</t>
        </is>
      </c>
      <c r="AY726" t="inlineStr">
        <is>
          <t>2271302020002656</t>
        </is>
      </c>
      <c r="AZ726" t="inlineStr">
        <is>
          <t>BOOK</t>
        </is>
      </c>
      <c r="BB726" t="inlineStr">
        <is>
          <t>9780030628160</t>
        </is>
      </c>
      <c r="BC726" t="inlineStr">
        <is>
          <t>32285001671535</t>
        </is>
      </c>
      <c r="BD726" t="inlineStr">
        <is>
          <t>893701792</t>
        </is>
      </c>
    </row>
    <row r="727">
      <c r="A727" t="inlineStr">
        <is>
          <t>No</t>
        </is>
      </c>
      <c r="B727" t="inlineStr">
        <is>
          <t>PL729 .C6</t>
        </is>
      </c>
      <c r="C727" t="inlineStr">
        <is>
          <t>0                      PL 0729000C  6</t>
        </is>
      </c>
      <c r="D727" t="inlineStr">
        <is>
          <t>To walk in seasons : an introduction to haiku / an anthology (with study guide) of Japanese haiku in English versions.</t>
        </is>
      </c>
      <c r="F727" t="inlineStr">
        <is>
          <t>No</t>
        </is>
      </c>
      <c r="G727" t="inlineStr">
        <is>
          <t>1</t>
        </is>
      </c>
      <c r="H727" t="inlineStr">
        <is>
          <t>No</t>
        </is>
      </c>
      <c r="I727" t="inlineStr">
        <is>
          <t>No</t>
        </is>
      </c>
      <c r="J727" t="inlineStr">
        <is>
          <t>0</t>
        </is>
      </c>
      <c r="K727" t="inlineStr">
        <is>
          <t>Cohen, William Howard, compiler.</t>
        </is>
      </c>
      <c r="L727" t="inlineStr">
        <is>
          <t>Rutland, Vt. : C. E. Tuttle Co., [1972]</t>
        </is>
      </c>
      <c r="M727" t="inlineStr">
        <is>
          <t>1972</t>
        </is>
      </c>
      <c r="O727" t="inlineStr">
        <is>
          <t>eng</t>
        </is>
      </c>
      <c r="P727" t="inlineStr">
        <is>
          <t>vtu</t>
        </is>
      </c>
      <c r="R727" t="inlineStr">
        <is>
          <t xml:space="preserve">PL </t>
        </is>
      </c>
      <c r="S727" t="n">
        <v>4</v>
      </c>
      <c r="T727" t="n">
        <v>4</v>
      </c>
      <c r="U727" t="inlineStr">
        <is>
          <t>1998-11-16</t>
        </is>
      </c>
      <c r="V727" t="inlineStr">
        <is>
          <t>1998-11-16</t>
        </is>
      </c>
      <c r="W727" t="inlineStr">
        <is>
          <t>1992-03-03</t>
        </is>
      </c>
      <c r="X727" t="inlineStr">
        <is>
          <t>1992-03-03</t>
        </is>
      </c>
      <c r="Y727" t="n">
        <v>476</v>
      </c>
      <c r="Z727" t="n">
        <v>425</v>
      </c>
      <c r="AA727" t="n">
        <v>437</v>
      </c>
      <c r="AB727" t="n">
        <v>2</v>
      </c>
      <c r="AC727" t="n">
        <v>2</v>
      </c>
      <c r="AD727" t="n">
        <v>15</v>
      </c>
      <c r="AE727" t="n">
        <v>15</v>
      </c>
      <c r="AF727" t="n">
        <v>5</v>
      </c>
      <c r="AG727" t="n">
        <v>5</v>
      </c>
      <c r="AH727" t="n">
        <v>5</v>
      </c>
      <c r="AI727" t="n">
        <v>5</v>
      </c>
      <c r="AJ727" t="n">
        <v>7</v>
      </c>
      <c r="AK727" t="n">
        <v>7</v>
      </c>
      <c r="AL727" t="n">
        <v>1</v>
      </c>
      <c r="AM727" t="n">
        <v>1</v>
      </c>
      <c r="AN727" t="n">
        <v>0</v>
      </c>
      <c r="AO727" t="n">
        <v>0</v>
      </c>
      <c r="AP727" t="inlineStr">
        <is>
          <t>No</t>
        </is>
      </c>
      <c r="AQ727" t="inlineStr">
        <is>
          <t>Yes</t>
        </is>
      </c>
      <c r="AR727">
        <f>HYPERLINK("http://catalog.hathitrust.org/Record/102071963","HathiTrust Record")</f>
        <v/>
      </c>
      <c r="AS727">
        <f>HYPERLINK("https://creighton-primo.hosted.exlibrisgroup.com/primo-explore/search?tab=default_tab&amp;search_scope=EVERYTHING&amp;vid=01CRU&amp;lang=en_US&amp;offset=0&amp;query=any,contains,991002801449702656","Catalog Record")</f>
        <v/>
      </c>
      <c r="AT727">
        <f>HYPERLINK("http://www.worldcat.org/oclc/447470","WorldCat Record")</f>
        <v/>
      </c>
      <c r="AU727" t="inlineStr">
        <is>
          <t>346809768:eng</t>
        </is>
      </c>
      <c r="AV727" t="inlineStr">
        <is>
          <t>447470</t>
        </is>
      </c>
      <c r="AW727" t="inlineStr">
        <is>
          <t>991002801449702656</t>
        </is>
      </c>
      <c r="AX727" t="inlineStr">
        <is>
          <t>991002801449702656</t>
        </is>
      </c>
      <c r="AY727" t="inlineStr">
        <is>
          <t>2268522590002656</t>
        </is>
      </c>
      <c r="AZ727" t="inlineStr">
        <is>
          <t>BOOK</t>
        </is>
      </c>
      <c r="BB727" t="inlineStr">
        <is>
          <t>9780804808934</t>
        </is>
      </c>
      <c r="BC727" t="inlineStr">
        <is>
          <t>32285000990837</t>
        </is>
      </c>
      <c r="BD727" t="inlineStr">
        <is>
          <t>893317268</t>
        </is>
      </c>
    </row>
    <row r="728">
      <c r="A728" t="inlineStr">
        <is>
          <t>No</t>
        </is>
      </c>
      <c r="B728" t="inlineStr">
        <is>
          <t>PL729 .Y36 1973</t>
        </is>
      </c>
      <c r="C728" t="inlineStr">
        <is>
          <t>0                      PL 0729000Y  36          1973</t>
        </is>
      </c>
      <c r="D728" t="inlineStr">
        <is>
          <t>The Japanese haiku, its essential nature, history, and possibilities in English, with selected examples / by Kenneth Yasuda.</t>
        </is>
      </c>
      <c r="F728" t="inlineStr">
        <is>
          <t>No</t>
        </is>
      </c>
      <c r="G728" t="inlineStr">
        <is>
          <t>1</t>
        </is>
      </c>
      <c r="H728" t="inlineStr">
        <is>
          <t>No</t>
        </is>
      </c>
      <c r="I728" t="inlineStr">
        <is>
          <t>No</t>
        </is>
      </c>
      <c r="J728" t="inlineStr">
        <is>
          <t>0</t>
        </is>
      </c>
      <c r="K728" t="inlineStr">
        <is>
          <t>Yasuda, Kenneth, 1914-2002.</t>
        </is>
      </c>
      <c r="L728" t="inlineStr">
        <is>
          <t>Rutland, Vt. : Charles E. Tuttle, 1973</t>
        </is>
      </c>
      <c r="M728" t="inlineStr">
        <is>
          <t>1973</t>
        </is>
      </c>
      <c r="N728" t="inlineStr">
        <is>
          <t>1st Tut Book ed.</t>
        </is>
      </c>
      <c r="O728" t="inlineStr">
        <is>
          <t>eng</t>
        </is>
      </c>
      <c r="P728" t="inlineStr">
        <is>
          <t>vtu</t>
        </is>
      </c>
      <c r="R728" t="inlineStr">
        <is>
          <t xml:space="preserve">PL </t>
        </is>
      </c>
      <c r="S728" t="n">
        <v>5</v>
      </c>
      <c r="T728" t="n">
        <v>5</v>
      </c>
      <c r="U728" t="inlineStr">
        <is>
          <t>2005-09-22</t>
        </is>
      </c>
      <c r="V728" t="inlineStr">
        <is>
          <t>2005-09-22</t>
        </is>
      </c>
      <c r="W728" t="inlineStr">
        <is>
          <t>1997-08-28</t>
        </is>
      </c>
      <c r="X728" t="inlineStr">
        <is>
          <t>1997-08-28</t>
        </is>
      </c>
      <c r="Y728" t="n">
        <v>159</v>
      </c>
      <c r="Z728" t="n">
        <v>114</v>
      </c>
      <c r="AA728" t="n">
        <v>798</v>
      </c>
      <c r="AB728" t="n">
        <v>1</v>
      </c>
      <c r="AC728" t="n">
        <v>3</v>
      </c>
      <c r="AD728" t="n">
        <v>4</v>
      </c>
      <c r="AE728" t="n">
        <v>27</v>
      </c>
      <c r="AF728" t="n">
        <v>3</v>
      </c>
      <c r="AG728" t="n">
        <v>15</v>
      </c>
      <c r="AH728" t="n">
        <v>0</v>
      </c>
      <c r="AI728" t="n">
        <v>5</v>
      </c>
      <c r="AJ728" t="n">
        <v>3</v>
      </c>
      <c r="AK728" t="n">
        <v>15</v>
      </c>
      <c r="AL728" t="n">
        <v>0</v>
      </c>
      <c r="AM728" t="n">
        <v>1</v>
      </c>
      <c r="AN728" t="n">
        <v>0</v>
      </c>
      <c r="AO728" t="n">
        <v>0</v>
      </c>
      <c r="AP728" t="inlineStr">
        <is>
          <t>No</t>
        </is>
      </c>
      <c r="AQ728" t="inlineStr">
        <is>
          <t>No</t>
        </is>
      </c>
      <c r="AS728">
        <f>HYPERLINK("https://creighton-primo.hosted.exlibrisgroup.com/primo-explore/search?tab=default_tab&amp;search_scope=EVERYTHING&amp;vid=01CRU&amp;lang=en_US&amp;offset=0&amp;query=any,contains,991002587039702656","Catalog Record")</f>
        <v/>
      </c>
      <c r="AT728">
        <f>HYPERLINK("http://www.worldcat.org/oclc/33898807","WorldCat Record")</f>
        <v/>
      </c>
      <c r="AU728" t="inlineStr">
        <is>
          <t>8943500:eng</t>
        </is>
      </c>
      <c r="AV728" t="inlineStr">
        <is>
          <t>33898807</t>
        </is>
      </c>
      <c r="AW728" t="inlineStr">
        <is>
          <t>991002587039702656</t>
        </is>
      </c>
      <c r="AX728" t="inlineStr">
        <is>
          <t>991002587039702656</t>
        </is>
      </c>
      <c r="AY728" t="inlineStr">
        <is>
          <t>2271583130002656</t>
        </is>
      </c>
      <c r="AZ728" t="inlineStr">
        <is>
          <t>BOOK</t>
        </is>
      </c>
      <c r="BB728" t="inlineStr">
        <is>
          <t>9780804810968</t>
        </is>
      </c>
      <c r="BC728" t="inlineStr">
        <is>
          <t>32285003002572</t>
        </is>
      </c>
      <c r="BD728" t="inlineStr">
        <is>
          <t>893627204</t>
        </is>
      </c>
    </row>
    <row r="729">
      <c r="A729" t="inlineStr">
        <is>
          <t>No</t>
        </is>
      </c>
      <c r="B729" t="inlineStr">
        <is>
          <t>PL733.2 .M5</t>
        </is>
      </c>
      <c r="C729" t="inlineStr">
        <is>
          <t>0                      PL 0733200M  5</t>
        </is>
      </c>
      <c r="D729" t="inlineStr">
        <is>
          <t>An introduction to Japanese court poetry / by Earl Miner. With translations by the author and Robert H. Brower.</t>
        </is>
      </c>
      <c r="F729" t="inlineStr">
        <is>
          <t>No</t>
        </is>
      </c>
      <c r="G729" t="inlineStr">
        <is>
          <t>1</t>
        </is>
      </c>
      <c r="H729" t="inlineStr">
        <is>
          <t>No</t>
        </is>
      </c>
      <c r="I729" t="inlineStr">
        <is>
          <t>No</t>
        </is>
      </c>
      <c r="J729" t="inlineStr">
        <is>
          <t>0</t>
        </is>
      </c>
      <c r="K729" t="inlineStr">
        <is>
          <t>Miner, Earl, 1927-2004.</t>
        </is>
      </c>
      <c r="L729" t="inlineStr">
        <is>
          <t>Stanford, Calif. : Stanford University Press, 1968.</t>
        </is>
      </c>
      <c r="M729" t="inlineStr">
        <is>
          <t>1968</t>
        </is>
      </c>
      <c r="O729" t="inlineStr">
        <is>
          <t>eng</t>
        </is>
      </c>
      <c r="P729" t="inlineStr">
        <is>
          <t>cau</t>
        </is>
      </c>
      <c r="R729" t="inlineStr">
        <is>
          <t xml:space="preserve">PL </t>
        </is>
      </c>
      <c r="S729" t="n">
        <v>7</v>
      </c>
      <c r="T729" t="n">
        <v>7</v>
      </c>
      <c r="U729" t="inlineStr">
        <is>
          <t>2007-12-12</t>
        </is>
      </c>
      <c r="V729" t="inlineStr">
        <is>
          <t>2007-12-12</t>
        </is>
      </c>
      <c r="W729" t="inlineStr">
        <is>
          <t>1992-04-27</t>
        </is>
      </c>
      <c r="X729" t="inlineStr">
        <is>
          <t>1992-04-27</t>
        </is>
      </c>
      <c r="Y729" t="n">
        <v>768</v>
      </c>
      <c r="Z729" t="n">
        <v>644</v>
      </c>
      <c r="AA729" t="n">
        <v>648</v>
      </c>
      <c r="AB729" t="n">
        <v>3</v>
      </c>
      <c r="AC729" t="n">
        <v>3</v>
      </c>
      <c r="AD729" t="n">
        <v>28</v>
      </c>
      <c r="AE729" t="n">
        <v>28</v>
      </c>
      <c r="AF729" t="n">
        <v>8</v>
      </c>
      <c r="AG729" t="n">
        <v>8</v>
      </c>
      <c r="AH729" t="n">
        <v>7</v>
      </c>
      <c r="AI729" t="n">
        <v>7</v>
      </c>
      <c r="AJ729" t="n">
        <v>17</v>
      </c>
      <c r="AK729" t="n">
        <v>17</v>
      </c>
      <c r="AL729" t="n">
        <v>2</v>
      </c>
      <c r="AM729" t="n">
        <v>2</v>
      </c>
      <c r="AN729" t="n">
        <v>0</v>
      </c>
      <c r="AO729" t="n">
        <v>0</v>
      </c>
      <c r="AP729" t="inlineStr">
        <is>
          <t>No</t>
        </is>
      </c>
      <c r="AQ729" t="inlineStr">
        <is>
          <t>No</t>
        </is>
      </c>
      <c r="AS729">
        <f>HYPERLINK("https://creighton-primo.hosted.exlibrisgroup.com/primo-explore/search?tab=default_tab&amp;search_scope=EVERYTHING&amp;vid=01CRU&amp;lang=en_US&amp;offset=0&amp;query=any,contains,991001928429702656","Catalog Record")</f>
        <v/>
      </c>
      <c r="AT729">
        <f>HYPERLINK("http://www.worldcat.org/oclc/247933","WorldCat Record")</f>
        <v/>
      </c>
      <c r="AU729" t="inlineStr">
        <is>
          <t>3856222837:eng</t>
        </is>
      </c>
      <c r="AV729" t="inlineStr">
        <is>
          <t>247933</t>
        </is>
      </c>
      <c r="AW729" t="inlineStr">
        <is>
          <t>991001928429702656</t>
        </is>
      </c>
      <c r="AX729" t="inlineStr">
        <is>
          <t>991001928429702656</t>
        </is>
      </c>
      <c r="AY729" t="inlineStr">
        <is>
          <t>2257954590002656</t>
        </is>
      </c>
      <c r="AZ729" t="inlineStr">
        <is>
          <t>BOOK</t>
        </is>
      </c>
      <c r="BC729" t="inlineStr">
        <is>
          <t>32285001088276</t>
        </is>
      </c>
      <c r="BD729" t="inlineStr">
        <is>
          <t>893885650</t>
        </is>
      </c>
    </row>
    <row r="730">
      <c r="A730" t="inlineStr">
        <is>
          <t>No</t>
        </is>
      </c>
      <c r="B730" t="inlineStr">
        <is>
          <t>PL735 .T77 1983</t>
        </is>
      </c>
      <c r="C730" t="inlineStr">
        <is>
          <t>0                      PL 0735000T  77          1983</t>
        </is>
      </c>
      <c r="D730" t="inlineStr">
        <is>
          <t>Ezra Pound and Japanese noh plays / Nobuko Tsukui.</t>
        </is>
      </c>
      <c r="F730" t="inlineStr">
        <is>
          <t>No</t>
        </is>
      </c>
      <c r="G730" t="inlineStr">
        <is>
          <t>1</t>
        </is>
      </c>
      <c r="H730" t="inlineStr">
        <is>
          <t>No</t>
        </is>
      </c>
      <c r="I730" t="inlineStr">
        <is>
          <t>No</t>
        </is>
      </c>
      <c r="J730" t="inlineStr">
        <is>
          <t>0</t>
        </is>
      </c>
      <c r="K730" t="inlineStr">
        <is>
          <t>Tsukui, Nobuko.</t>
        </is>
      </c>
      <c r="L730" t="inlineStr">
        <is>
          <t>Washington, D.C. : University Press of America, c1983.</t>
        </is>
      </c>
      <c r="M730" t="inlineStr">
        <is>
          <t>1983</t>
        </is>
      </c>
      <c r="O730" t="inlineStr">
        <is>
          <t>eng</t>
        </is>
      </c>
      <c r="P730" t="inlineStr">
        <is>
          <t>dcu</t>
        </is>
      </c>
      <c r="R730" t="inlineStr">
        <is>
          <t xml:space="preserve">PL </t>
        </is>
      </c>
      <c r="S730" t="n">
        <v>12</v>
      </c>
      <c r="T730" t="n">
        <v>12</v>
      </c>
      <c r="U730" t="inlineStr">
        <is>
          <t>2009-03-06</t>
        </is>
      </c>
      <c r="V730" t="inlineStr">
        <is>
          <t>2009-03-06</t>
        </is>
      </c>
      <c r="W730" t="inlineStr">
        <is>
          <t>1993-05-04</t>
        </is>
      </c>
      <c r="X730" t="inlineStr">
        <is>
          <t>1993-05-04</t>
        </is>
      </c>
      <c r="Y730" t="n">
        <v>233</v>
      </c>
      <c r="Z730" t="n">
        <v>192</v>
      </c>
      <c r="AA730" t="n">
        <v>193</v>
      </c>
      <c r="AB730" t="n">
        <v>2</v>
      </c>
      <c r="AC730" t="n">
        <v>2</v>
      </c>
      <c r="AD730" t="n">
        <v>7</v>
      </c>
      <c r="AE730" t="n">
        <v>7</v>
      </c>
      <c r="AF730" t="n">
        <v>1</v>
      </c>
      <c r="AG730" t="n">
        <v>1</v>
      </c>
      <c r="AH730" t="n">
        <v>3</v>
      </c>
      <c r="AI730" t="n">
        <v>3</v>
      </c>
      <c r="AJ730" t="n">
        <v>4</v>
      </c>
      <c r="AK730" t="n">
        <v>4</v>
      </c>
      <c r="AL730" t="n">
        <v>1</v>
      </c>
      <c r="AM730" t="n">
        <v>1</v>
      </c>
      <c r="AN730" t="n">
        <v>0</v>
      </c>
      <c r="AO730" t="n">
        <v>0</v>
      </c>
      <c r="AP730" t="inlineStr">
        <is>
          <t>No</t>
        </is>
      </c>
      <c r="AQ730" t="inlineStr">
        <is>
          <t>Yes</t>
        </is>
      </c>
      <c r="AR730">
        <f>HYPERLINK("http://catalog.hathitrust.org/Record/007103542","HathiTrust Record")</f>
        <v/>
      </c>
      <c r="AS730">
        <f>HYPERLINK("https://creighton-primo.hosted.exlibrisgroup.com/primo-explore/search?tab=default_tab&amp;search_scope=EVERYTHING&amp;vid=01CRU&amp;lang=en_US&amp;offset=0&amp;query=any,contains,991000133089702656","Catalog Record")</f>
        <v/>
      </c>
      <c r="AT730">
        <f>HYPERLINK("http://www.worldcat.org/oclc/9112324","WorldCat Record")</f>
        <v/>
      </c>
      <c r="AU730" t="inlineStr">
        <is>
          <t>1862943409:eng</t>
        </is>
      </c>
      <c r="AV730" t="inlineStr">
        <is>
          <t>9112324</t>
        </is>
      </c>
      <c r="AW730" t="inlineStr">
        <is>
          <t>991000133089702656</t>
        </is>
      </c>
      <c r="AX730" t="inlineStr">
        <is>
          <t>991000133089702656</t>
        </is>
      </c>
      <c r="AY730" t="inlineStr">
        <is>
          <t>2265413990002656</t>
        </is>
      </c>
      <c r="AZ730" t="inlineStr">
        <is>
          <t>BOOK</t>
        </is>
      </c>
      <c r="BB730" t="inlineStr">
        <is>
          <t>9780819129888</t>
        </is>
      </c>
      <c r="BC730" t="inlineStr">
        <is>
          <t>32285001671543</t>
        </is>
      </c>
      <c r="BD730" t="inlineStr">
        <is>
          <t>893771420</t>
        </is>
      </c>
    </row>
    <row r="731">
      <c r="A731" t="inlineStr">
        <is>
          <t>No</t>
        </is>
      </c>
      <c r="B731" t="inlineStr">
        <is>
          <t>PL741 .K44 1989</t>
        </is>
      </c>
      <c r="C731" t="inlineStr">
        <is>
          <t>0                      PL 0741000K  44          1989</t>
        </is>
      </c>
      <c r="D731" t="inlineStr">
        <is>
          <t>Travelers of a hundred ages / Donald Keene.</t>
        </is>
      </c>
      <c r="F731" t="inlineStr">
        <is>
          <t>No</t>
        </is>
      </c>
      <c r="G731" t="inlineStr">
        <is>
          <t>1</t>
        </is>
      </c>
      <c r="H731" t="inlineStr">
        <is>
          <t>No</t>
        </is>
      </c>
      <c r="I731" t="inlineStr">
        <is>
          <t>No</t>
        </is>
      </c>
      <c r="J731" t="inlineStr">
        <is>
          <t>0</t>
        </is>
      </c>
      <c r="K731" t="inlineStr">
        <is>
          <t>Keene, Donald.</t>
        </is>
      </c>
      <c r="L731" t="inlineStr">
        <is>
          <t>New York : Holt, c1989.</t>
        </is>
      </c>
      <c r="M731" t="inlineStr">
        <is>
          <t>1989</t>
        </is>
      </c>
      <c r="N731" t="inlineStr">
        <is>
          <t>1st ed.</t>
        </is>
      </c>
      <c r="O731" t="inlineStr">
        <is>
          <t>eng</t>
        </is>
      </c>
      <c r="P731" t="inlineStr">
        <is>
          <t>nyu</t>
        </is>
      </c>
      <c r="R731" t="inlineStr">
        <is>
          <t xml:space="preserve">PL </t>
        </is>
      </c>
      <c r="S731" t="n">
        <v>2</v>
      </c>
      <c r="T731" t="n">
        <v>2</v>
      </c>
      <c r="U731" t="inlineStr">
        <is>
          <t>1999-05-28</t>
        </is>
      </c>
      <c r="V731" t="inlineStr">
        <is>
          <t>1999-05-28</t>
        </is>
      </c>
      <c r="W731" t="inlineStr">
        <is>
          <t>1997-05-05</t>
        </is>
      </c>
      <c r="X731" t="inlineStr">
        <is>
          <t>1997-05-05</t>
        </is>
      </c>
      <c r="Y731" t="n">
        <v>588</v>
      </c>
      <c r="Z731" t="n">
        <v>509</v>
      </c>
      <c r="AA731" t="n">
        <v>526</v>
      </c>
      <c r="AB731" t="n">
        <v>3</v>
      </c>
      <c r="AC731" t="n">
        <v>3</v>
      </c>
      <c r="AD731" t="n">
        <v>22</v>
      </c>
      <c r="AE731" t="n">
        <v>22</v>
      </c>
      <c r="AF731" t="n">
        <v>5</v>
      </c>
      <c r="AG731" t="n">
        <v>5</v>
      </c>
      <c r="AH731" t="n">
        <v>7</v>
      </c>
      <c r="AI731" t="n">
        <v>7</v>
      </c>
      <c r="AJ731" t="n">
        <v>13</v>
      </c>
      <c r="AK731" t="n">
        <v>13</v>
      </c>
      <c r="AL731" t="n">
        <v>2</v>
      </c>
      <c r="AM731" t="n">
        <v>2</v>
      </c>
      <c r="AN731" t="n">
        <v>0</v>
      </c>
      <c r="AO731" t="n">
        <v>0</v>
      </c>
      <c r="AP731" t="inlineStr">
        <is>
          <t>No</t>
        </is>
      </c>
      <c r="AQ731" t="inlineStr">
        <is>
          <t>No</t>
        </is>
      </c>
      <c r="AS731">
        <f>HYPERLINK("https://creighton-primo.hosted.exlibrisgroup.com/primo-explore/search?tab=default_tab&amp;search_scope=EVERYTHING&amp;vid=01CRU&amp;lang=en_US&amp;offset=0&amp;query=any,contains,991001405999702656","Catalog Record")</f>
        <v/>
      </c>
      <c r="AT731">
        <f>HYPERLINK("http://www.worldcat.org/oclc/18835736","WorldCat Record")</f>
        <v/>
      </c>
      <c r="AU731" t="inlineStr">
        <is>
          <t>1063382:eng</t>
        </is>
      </c>
      <c r="AV731" t="inlineStr">
        <is>
          <t>18835736</t>
        </is>
      </c>
      <c r="AW731" t="inlineStr">
        <is>
          <t>991001405999702656</t>
        </is>
      </c>
      <c r="AX731" t="inlineStr">
        <is>
          <t>991001405999702656</t>
        </is>
      </c>
      <c r="AY731" t="inlineStr">
        <is>
          <t>2257178400002656</t>
        </is>
      </c>
      <c r="AZ731" t="inlineStr">
        <is>
          <t>BOOK</t>
        </is>
      </c>
      <c r="BB731" t="inlineStr">
        <is>
          <t>9780805007510</t>
        </is>
      </c>
      <c r="BC731" t="inlineStr">
        <is>
          <t>32285002544194</t>
        </is>
      </c>
      <c r="BD731" t="inlineStr">
        <is>
          <t>893872519</t>
        </is>
      </c>
    </row>
    <row r="732">
      <c r="A732" t="inlineStr">
        <is>
          <t>No</t>
        </is>
      </c>
      <c r="B732" t="inlineStr">
        <is>
          <t>PL741.6 .K43 1995</t>
        </is>
      </c>
      <c r="C732" t="inlineStr">
        <is>
          <t>0                      PL 0741600K  43          1995</t>
        </is>
      </c>
      <c r="D732" t="inlineStr">
        <is>
          <t>Modern Japanese diaries : the Japanese at home and abroad as revealed through their diaries / Donald Keene.</t>
        </is>
      </c>
      <c r="F732" t="inlineStr">
        <is>
          <t>No</t>
        </is>
      </c>
      <c r="G732" t="inlineStr">
        <is>
          <t>1</t>
        </is>
      </c>
      <c r="H732" t="inlineStr">
        <is>
          <t>No</t>
        </is>
      </c>
      <c r="I732" t="inlineStr">
        <is>
          <t>No</t>
        </is>
      </c>
      <c r="J732" t="inlineStr">
        <is>
          <t>0</t>
        </is>
      </c>
      <c r="K732" t="inlineStr">
        <is>
          <t>Keene, Donald.</t>
        </is>
      </c>
      <c r="L732" t="inlineStr">
        <is>
          <t>New York : Henry Holt and Co., 1995.</t>
        </is>
      </c>
      <c r="M732" t="inlineStr">
        <is>
          <t>1995</t>
        </is>
      </c>
      <c r="N732" t="inlineStr">
        <is>
          <t>1st ed.</t>
        </is>
      </c>
      <c r="O732" t="inlineStr">
        <is>
          <t>eng</t>
        </is>
      </c>
      <c r="P732" t="inlineStr">
        <is>
          <t>nyu</t>
        </is>
      </c>
      <c r="R732" t="inlineStr">
        <is>
          <t xml:space="preserve">PL </t>
        </is>
      </c>
      <c r="S732" t="n">
        <v>1</v>
      </c>
      <c r="T732" t="n">
        <v>1</v>
      </c>
      <c r="U732" t="inlineStr">
        <is>
          <t>2010-04-07</t>
        </is>
      </c>
      <c r="V732" t="inlineStr">
        <is>
          <t>2010-04-07</t>
        </is>
      </c>
      <c r="W732" t="inlineStr">
        <is>
          <t>1999-10-26</t>
        </is>
      </c>
      <c r="X732" t="inlineStr">
        <is>
          <t>1999-10-26</t>
        </is>
      </c>
      <c r="Y732" t="n">
        <v>387</v>
      </c>
      <c r="Z732" t="n">
        <v>348</v>
      </c>
      <c r="AA732" t="n">
        <v>421</v>
      </c>
      <c r="AB732" t="n">
        <v>4</v>
      </c>
      <c r="AC732" t="n">
        <v>4</v>
      </c>
      <c r="AD732" t="n">
        <v>16</v>
      </c>
      <c r="AE732" t="n">
        <v>25</v>
      </c>
      <c r="AF732" t="n">
        <v>3</v>
      </c>
      <c r="AG732" t="n">
        <v>7</v>
      </c>
      <c r="AH732" t="n">
        <v>4</v>
      </c>
      <c r="AI732" t="n">
        <v>7</v>
      </c>
      <c r="AJ732" t="n">
        <v>8</v>
      </c>
      <c r="AK732" t="n">
        <v>12</v>
      </c>
      <c r="AL732" t="n">
        <v>3</v>
      </c>
      <c r="AM732" t="n">
        <v>3</v>
      </c>
      <c r="AN732" t="n">
        <v>0</v>
      </c>
      <c r="AO732" t="n">
        <v>0</v>
      </c>
      <c r="AP732" t="inlineStr">
        <is>
          <t>No</t>
        </is>
      </c>
      <c r="AQ732" t="inlineStr">
        <is>
          <t>No</t>
        </is>
      </c>
      <c r="AS732">
        <f>HYPERLINK("https://creighton-primo.hosted.exlibrisgroup.com/primo-explore/search?tab=default_tab&amp;search_scope=EVERYTHING&amp;vid=01CRU&amp;lang=en_US&amp;offset=0&amp;query=any,contains,991002386209702656","Catalog Record")</f>
        <v/>
      </c>
      <c r="AT732">
        <f>HYPERLINK("http://www.worldcat.org/oclc/31010448","WorldCat Record")</f>
        <v/>
      </c>
      <c r="AU732" t="inlineStr">
        <is>
          <t>1063391:eng</t>
        </is>
      </c>
      <c r="AV732" t="inlineStr">
        <is>
          <t>31010448</t>
        </is>
      </c>
      <c r="AW732" t="inlineStr">
        <is>
          <t>991002386209702656</t>
        </is>
      </c>
      <c r="AX732" t="inlineStr">
        <is>
          <t>991002386209702656</t>
        </is>
      </c>
      <c r="AY732" t="inlineStr">
        <is>
          <t>2265613460002656</t>
        </is>
      </c>
      <c r="AZ732" t="inlineStr">
        <is>
          <t>BOOK</t>
        </is>
      </c>
      <c r="BB732" t="inlineStr">
        <is>
          <t>9780805020557</t>
        </is>
      </c>
      <c r="BC732" t="inlineStr">
        <is>
          <t>32285003613469</t>
        </is>
      </c>
      <c r="BD732" t="inlineStr">
        <is>
          <t>893257235</t>
        </is>
      </c>
    </row>
    <row r="733">
      <c r="A733" t="inlineStr">
        <is>
          <t>No</t>
        </is>
      </c>
      <c r="B733" t="inlineStr">
        <is>
          <t>PL747.25.W3 V37 1994</t>
        </is>
      </c>
      <c r="C733" t="inlineStr">
        <is>
          <t>0                      PL 0747250W  3                  V  37          1994</t>
        </is>
      </c>
      <c r="D733" t="inlineStr">
        <is>
          <t>Warriors of Japan as portrayed in the war tales / Paul Varley.</t>
        </is>
      </c>
      <c r="F733" t="inlineStr">
        <is>
          <t>No</t>
        </is>
      </c>
      <c r="G733" t="inlineStr">
        <is>
          <t>1</t>
        </is>
      </c>
      <c r="H733" t="inlineStr">
        <is>
          <t>No</t>
        </is>
      </c>
      <c r="I733" t="inlineStr">
        <is>
          <t>No</t>
        </is>
      </c>
      <c r="J733" t="inlineStr">
        <is>
          <t>0</t>
        </is>
      </c>
      <c r="K733" t="inlineStr">
        <is>
          <t>Varley, H. Paul.</t>
        </is>
      </c>
      <c r="L733" t="inlineStr">
        <is>
          <t>Honolulu : University of Hawaii Press, c1994.</t>
        </is>
      </c>
      <c r="M733" t="inlineStr">
        <is>
          <t>1994</t>
        </is>
      </c>
      <c r="O733" t="inlineStr">
        <is>
          <t>eng</t>
        </is>
      </c>
      <c r="P733" t="inlineStr">
        <is>
          <t>hiu</t>
        </is>
      </c>
      <c r="R733" t="inlineStr">
        <is>
          <t xml:space="preserve">PL </t>
        </is>
      </c>
      <c r="S733" t="n">
        <v>6</v>
      </c>
      <c r="T733" t="n">
        <v>6</v>
      </c>
      <c r="U733" t="inlineStr">
        <is>
          <t>2003-04-25</t>
        </is>
      </c>
      <c r="V733" t="inlineStr">
        <is>
          <t>2003-04-25</t>
        </is>
      </c>
      <c r="W733" t="inlineStr">
        <is>
          <t>1994-09-21</t>
        </is>
      </c>
      <c r="X733" t="inlineStr">
        <is>
          <t>1994-09-21</t>
        </is>
      </c>
      <c r="Y733" t="n">
        <v>485</v>
      </c>
      <c r="Z733" t="n">
        <v>387</v>
      </c>
      <c r="AA733" t="n">
        <v>882</v>
      </c>
      <c r="AB733" t="n">
        <v>3</v>
      </c>
      <c r="AC733" t="n">
        <v>5</v>
      </c>
      <c r="AD733" t="n">
        <v>26</v>
      </c>
      <c r="AE733" t="n">
        <v>30</v>
      </c>
      <c r="AF733" t="n">
        <v>12</v>
      </c>
      <c r="AG733" t="n">
        <v>13</v>
      </c>
      <c r="AH733" t="n">
        <v>5</v>
      </c>
      <c r="AI733" t="n">
        <v>6</v>
      </c>
      <c r="AJ733" t="n">
        <v>13</v>
      </c>
      <c r="AK733" t="n">
        <v>14</v>
      </c>
      <c r="AL733" t="n">
        <v>2</v>
      </c>
      <c r="AM733" t="n">
        <v>4</v>
      </c>
      <c r="AN733" t="n">
        <v>0</v>
      </c>
      <c r="AO733" t="n">
        <v>0</v>
      </c>
      <c r="AP733" t="inlineStr">
        <is>
          <t>No</t>
        </is>
      </c>
      <c r="AQ733" t="inlineStr">
        <is>
          <t>Yes</t>
        </is>
      </c>
      <c r="AR733">
        <f>HYPERLINK("http://catalog.hathitrust.org/Record/002895839","HathiTrust Record")</f>
        <v/>
      </c>
      <c r="AS733">
        <f>HYPERLINK("https://creighton-primo.hosted.exlibrisgroup.com/primo-explore/search?tab=default_tab&amp;search_scope=EVERYTHING&amp;vid=01CRU&amp;lang=en_US&amp;offset=0&amp;query=any,contains,991002267869702656","Catalog Record")</f>
        <v/>
      </c>
      <c r="AT733">
        <f>HYPERLINK("http://www.worldcat.org/oclc/29428531","WorldCat Record")</f>
        <v/>
      </c>
      <c r="AU733" t="inlineStr">
        <is>
          <t>1022873:eng</t>
        </is>
      </c>
      <c r="AV733" t="inlineStr">
        <is>
          <t>29428531</t>
        </is>
      </c>
      <c r="AW733" t="inlineStr">
        <is>
          <t>991002267869702656</t>
        </is>
      </c>
      <c r="AX733" t="inlineStr">
        <is>
          <t>991002267869702656</t>
        </is>
      </c>
      <c r="AY733" t="inlineStr">
        <is>
          <t>2269829850002656</t>
        </is>
      </c>
      <c r="AZ733" t="inlineStr">
        <is>
          <t>BOOK</t>
        </is>
      </c>
      <c r="BB733" t="inlineStr">
        <is>
          <t>9780824815752</t>
        </is>
      </c>
      <c r="BC733" t="inlineStr">
        <is>
          <t>32285001946739</t>
        </is>
      </c>
      <c r="BD733" t="inlineStr">
        <is>
          <t>893421134</t>
        </is>
      </c>
    </row>
    <row r="734">
      <c r="A734" t="inlineStr">
        <is>
          <t>No</t>
        </is>
      </c>
      <c r="B734" t="inlineStr">
        <is>
          <t>PL747.35 .H5 1975</t>
        </is>
      </c>
      <c r="C734" t="inlineStr">
        <is>
          <t>0                      PL 0747350H  5           1975</t>
        </is>
      </c>
      <c r="D734" t="inlineStr">
        <is>
          <t>The floating world in Japanese fiction / Howard Hibbett.</t>
        </is>
      </c>
      <c r="F734" t="inlineStr">
        <is>
          <t>No</t>
        </is>
      </c>
      <c r="G734" t="inlineStr">
        <is>
          <t>1</t>
        </is>
      </c>
      <c r="H734" t="inlineStr">
        <is>
          <t>No</t>
        </is>
      </c>
      <c r="I734" t="inlineStr">
        <is>
          <t>No</t>
        </is>
      </c>
      <c r="J734" t="inlineStr">
        <is>
          <t>0</t>
        </is>
      </c>
      <c r="K734" t="inlineStr">
        <is>
          <t>Hibbett, Howard.</t>
        </is>
      </c>
      <c r="L734" t="inlineStr">
        <is>
          <t>Rutland, Vt. : C. E. Tuttle Co., 1975, c1959.</t>
        </is>
      </c>
      <c r="M734" t="inlineStr">
        <is>
          <t>1975</t>
        </is>
      </c>
      <c r="O734" t="inlineStr">
        <is>
          <t>eng</t>
        </is>
      </c>
      <c r="P734" t="inlineStr">
        <is>
          <t>vtu</t>
        </is>
      </c>
      <c r="Q734" t="inlineStr">
        <is>
          <t>Tut books. L</t>
        </is>
      </c>
      <c r="R734" t="inlineStr">
        <is>
          <t xml:space="preserve">PL </t>
        </is>
      </c>
      <c r="S734" t="n">
        <v>3</v>
      </c>
      <c r="T734" t="n">
        <v>3</v>
      </c>
      <c r="U734" t="inlineStr">
        <is>
          <t>2005-01-25</t>
        </is>
      </c>
      <c r="V734" t="inlineStr">
        <is>
          <t>2005-01-25</t>
        </is>
      </c>
      <c r="W734" t="inlineStr">
        <is>
          <t>1997-05-12</t>
        </is>
      </c>
      <c r="X734" t="inlineStr">
        <is>
          <t>1997-05-12</t>
        </is>
      </c>
      <c r="Y734" t="n">
        <v>187</v>
      </c>
      <c r="Z734" t="n">
        <v>125</v>
      </c>
      <c r="AA734" t="n">
        <v>763</v>
      </c>
      <c r="AB734" t="n">
        <v>3</v>
      </c>
      <c r="AC734" t="n">
        <v>5</v>
      </c>
      <c r="AD734" t="n">
        <v>9</v>
      </c>
      <c r="AE734" t="n">
        <v>32</v>
      </c>
      <c r="AF734" t="n">
        <v>5</v>
      </c>
      <c r="AG734" t="n">
        <v>12</v>
      </c>
      <c r="AH734" t="n">
        <v>2</v>
      </c>
      <c r="AI734" t="n">
        <v>6</v>
      </c>
      <c r="AJ734" t="n">
        <v>4</v>
      </c>
      <c r="AK734" t="n">
        <v>20</v>
      </c>
      <c r="AL734" t="n">
        <v>2</v>
      </c>
      <c r="AM734" t="n">
        <v>4</v>
      </c>
      <c r="AN734" t="n">
        <v>0</v>
      </c>
      <c r="AO734" t="n">
        <v>0</v>
      </c>
      <c r="AP734" t="inlineStr">
        <is>
          <t>No</t>
        </is>
      </c>
      <c r="AQ734" t="inlineStr">
        <is>
          <t>Yes</t>
        </is>
      </c>
      <c r="AR734">
        <f>HYPERLINK("http://catalog.hathitrust.org/Record/000250184","HathiTrust Record")</f>
        <v/>
      </c>
      <c r="AS734">
        <f>HYPERLINK("https://creighton-primo.hosted.exlibrisgroup.com/primo-explore/search?tab=default_tab&amp;search_scope=EVERYTHING&amp;vid=01CRU&amp;lang=en_US&amp;offset=0&amp;query=any,contains,991004305469702656","Catalog Record")</f>
        <v/>
      </c>
      <c r="AT734">
        <f>HYPERLINK("http://www.worldcat.org/oclc/2983231","WorldCat Record")</f>
        <v/>
      </c>
      <c r="AU734" t="inlineStr">
        <is>
          <t>1308697:eng</t>
        </is>
      </c>
      <c r="AV734" t="inlineStr">
        <is>
          <t>2983231</t>
        </is>
      </c>
      <c r="AW734" t="inlineStr">
        <is>
          <t>991004305469702656</t>
        </is>
      </c>
      <c r="AX734" t="inlineStr">
        <is>
          <t>991004305469702656</t>
        </is>
      </c>
      <c r="AY734" t="inlineStr">
        <is>
          <t>2261265460002656</t>
        </is>
      </c>
      <c r="AZ734" t="inlineStr">
        <is>
          <t>BOOK</t>
        </is>
      </c>
      <c r="BB734" t="inlineStr">
        <is>
          <t>9780804811545</t>
        </is>
      </c>
      <c r="BC734" t="inlineStr">
        <is>
          <t>32285002606944</t>
        </is>
      </c>
      <c r="BD734" t="inlineStr">
        <is>
          <t>893325199</t>
        </is>
      </c>
    </row>
    <row r="735">
      <c r="A735" t="inlineStr">
        <is>
          <t>No</t>
        </is>
      </c>
      <c r="B735" t="inlineStr">
        <is>
          <t>PL747.55 .M36 2000</t>
        </is>
      </c>
      <c r="C735" t="inlineStr">
        <is>
          <t>0                      PL 0747550M  36          2000</t>
        </is>
      </c>
      <c r="D735" t="inlineStr">
        <is>
          <t>From book to screen : modern Japanese literature in film / Keiko I. McDonald.</t>
        </is>
      </c>
      <c r="F735" t="inlineStr">
        <is>
          <t>No</t>
        </is>
      </c>
      <c r="G735" t="inlineStr">
        <is>
          <t>1</t>
        </is>
      </c>
      <c r="H735" t="inlineStr">
        <is>
          <t>No</t>
        </is>
      </c>
      <c r="I735" t="inlineStr">
        <is>
          <t>No</t>
        </is>
      </c>
      <c r="J735" t="inlineStr">
        <is>
          <t>0</t>
        </is>
      </c>
      <c r="K735" t="inlineStr">
        <is>
          <t>McDonald, Keiko I.</t>
        </is>
      </c>
      <c r="L735" t="inlineStr">
        <is>
          <t>Armonk, N.Y. : M.E. Sharpe, c2000.</t>
        </is>
      </c>
      <c r="M735" t="inlineStr">
        <is>
          <t>2000</t>
        </is>
      </c>
      <c r="O735" t="inlineStr">
        <is>
          <t>eng</t>
        </is>
      </c>
      <c r="P735" t="inlineStr">
        <is>
          <t>nyu</t>
        </is>
      </c>
      <c r="R735" t="inlineStr">
        <is>
          <t xml:space="preserve">PL </t>
        </is>
      </c>
      <c r="S735" t="n">
        <v>3</v>
      </c>
      <c r="T735" t="n">
        <v>3</v>
      </c>
      <c r="U735" t="inlineStr">
        <is>
          <t>2003-10-27</t>
        </is>
      </c>
      <c r="V735" t="inlineStr">
        <is>
          <t>2003-10-27</t>
        </is>
      </c>
      <c r="W735" t="inlineStr">
        <is>
          <t>2002-10-14</t>
        </is>
      </c>
      <c r="X735" t="inlineStr">
        <is>
          <t>2002-10-14</t>
        </is>
      </c>
      <c r="Y735" t="n">
        <v>390</v>
      </c>
      <c r="Z735" t="n">
        <v>301</v>
      </c>
      <c r="AA735" t="n">
        <v>320</v>
      </c>
      <c r="AB735" t="n">
        <v>2</v>
      </c>
      <c r="AC735" t="n">
        <v>2</v>
      </c>
      <c r="AD735" t="n">
        <v>13</v>
      </c>
      <c r="AE735" t="n">
        <v>13</v>
      </c>
      <c r="AF735" t="n">
        <v>5</v>
      </c>
      <c r="AG735" t="n">
        <v>5</v>
      </c>
      <c r="AH735" t="n">
        <v>1</v>
      </c>
      <c r="AI735" t="n">
        <v>1</v>
      </c>
      <c r="AJ735" t="n">
        <v>10</v>
      </c>
      <c r="AK735" t="n">
        <v>10</v>
      </c>
      <c r="AL735" t="n">
        <v>1</v>
      </c>
      <c r="AM735" t="n">
        <v>1</v>
      </c>
      <c r="AN735" t="n">
        <v>0</v>
      </c>
      <c r="AO735" t="n">
        <v>0</v>
      </c>
      <c r="AP735" t="inlineStr">
        <is>
          <t>No</t>
        </is>
      </c>
      <c r="AQ735" t="inlineStr">
        <is>
          <t>Yes</t>
        </is>
      </c>
      <c r="AR735">
        <f>HYPERLINK("http://catalog.hathitrust.org/Record/004074567","HathiTrust Record")</f>
        <v/>
      </c>
      <c r="AS735">
        <f>HYPERLINK("https://creighton-primo.hosted.exlibrisgroup.com/primo-explore/search?tab=default_tab&amp;search_scope=EVERYTHING&amp;vid=01CRU&amp;lang=en_US&amp;offset=0&amp;query=any,contains,991003911489702656","Catalog Record")</f>
        <v/>
      </c>
      <c r="AT735">
        <f>HYPERLINK("http://www.worldcat.org/oclc/40631975","WorldCat Record")</f>
        <v/>
      </c>
      <c r="AU735" t="inlineStr">
        <is>
          <t>837044627:eng</t>
        </is>
      </c>
      <c r="AV735" t="inlineStr">
        <is>
          <t>40631975</t>
        </is>
      </c>
      <c r="AW735" t="inlineStr">
        <is>
          <t>991003911489702656</t>
        </is>
      </c>
      <c r="AX735" t="inlineStr">
        <is>
          <t>991003911489702656</t>
        </is>
      </c>
      <c r="AY735" t="inlineStr">
        <is>
          <t>2262037490002656</t>
        </is>
      </c>
      <c r="AZ735" t="inlineStr">
        <is>
          <t>BOOK</t>
        </is>
      </c>
      <c r="BB735" t="inlineStr">
        <is>
          <t>9780765603876</t>
        </is>
      </c>
      <c r="BC735" t="inlineStr">
        <is>
          <t>32285004654512</t>
        </is>
      </c>
      <c r="BD735" t="inlineStr">
        <is>
          <t>893324703</t>
        </is>
      </c>
    </row>
    <row r="736">
      <c r="A736" t="inlineStr">
        <is>
          <t>No</t>
        </is>
      </c>
      <c r="B736" t="inlineStr">
        <is>
          <t>PL747.55 .M5 1996</t>
        </is>
      </c>
      <c r="C736" t="inlineStr">
        <is>
          <t>0                      PL 0747550M  5           1996</t>
        </is>
      </c>
      <c r="D736" t="inlineStr">
        <is>
          <t>Accomplices of silence : the modern Japanese novel / Masao Miyoshi.</t>
        </is>
      </c>
      <c r="F736" t="inlineStr">
        <is>
          <t>No</t>
        </is>
      </c>
      <c r="G736" t="inlineStr">
        <is>
          <t>1</t>
        </is>
      </c>
      <c r="H736" t="inlineStr">
        <is>
          <t>No</t>
        </is>
      </c>
      <c r="I736" t="inlineStr">
        <is>
          <t>No</t>
        </is>
      </c>
      <c r="J736" t="inlineStr">
        <is>
          <t>0</t>
        </is>
      </c>
      <c r="K736" t="inlineStr">
        <is>
          <t>Miyoshi, Masao.</t>
        </is>
      </c>
      <c r="L736" t="inlineStr">
        <is>
          <t>Ann Arbor : Center for Japanese Studies, the University of Michigan, 1996.</t>
        </is>
      </c>
      <c r="M736" t="inlineStr">
        <is>
          <t>1996</t>
        </is>
      </c>
      <c r="O736" t="inlineStr">
        <is>
          <t>eng</t>
        </is>
      </c>
      <c r="P736" t="inlineStr">
        <is>
          <t>miu</t>
        </is>
      </c>
      <c r="Q736" t="inlineStr">
        <is>
          <t>Michigan classics in Japanese studies ; no. 16</t>
        </is>
      </c>
      <c r="R736" t="inlineStr">
        <is>
          <t xml:space="preserve">PL </t>
        </is>
      </c>
      <c r="S736" t="n">
        <v>4</v>
      </c>
      <c r="T736" t="n">
        <v>4</v>
      </c>
      <c r="U736" t="inlineStr">
        <is>
          <t>1999-05-28</t>
        </is>
      </c>
      <c r="V736" t="inlineStr">
        <is>
          <t>1999-05-28</t>
        </is>
      </c>
      <c r="W736" t="inlineStr">
        <is>
          <t>1997-05-06</t>
        </is>
      </c>
      <c r="X736" t="inlineStr">
        <is>
          <t>1997-05-06</t>
        </is>
      </c>
      <c r="Y736" t="n">
        <v>38</v>
      </c>
      <c r="Z736" t="n">
        <v>28</v>
      </c>
      <c r="AA736" t="n">
        <v>862</v>
      </c>
      <c r="AB736" t="n">
        <v>1</v>
      </c>
      <c r="AC736" t="n">
        <v>11</v>
      </c>
      <c r="AD736" t="n">
        <v>1</v>
      </c>
      <c r="AE736" t="n">
        <v>39</v>
      </c>
      <c r="AF736" t="n">
        <v>0</v>
      </c>
      <c r="AG736" t="n">
        <v>14</v>
      </c>
      <c r="AH736" t="n">
        <v>1</v>
      </c>
      <c r="AI736" t="n">
        <v>6</v>
      </c>
      <c r="AJ736" t="n">
        <v>0</v>
      </c>
      <c r="AK736" t="n">
        <v>18</v>
      </c>
      <c r="AL736" t="n">
        <v>0</v>
      </c>
      <c r="AM736" t="n">
        <v>10</v>
      </c>
      <c r="AN736" t="n">
        <v>0</v>
      </c>
      <c r="AO736" t="n">
        <v>0</v>
      </c>
      <c r="AP736" t="inlineStr">
        <is>
          <t>No</t>
        </is>
      </c>
      <c r="AQ736" t="inlineStr">
        <is>
          <t>Yes</t>
        </is>
      </c>
      <c r="AR736">
        <f>HYPERLINK("http://catalog.hathitrust.org/Record/003333217","HathiTrust Record")</f>
        <v/>
      </c>
      <c r="AS736">
        <f>HYPERLINK("https://creighton-primo.hosted.exlibrisgroup.com/primo-explore/search?tab=default_tab&amp;search_scope=EVERYTHING&amp;vid=01CRU&amp;lang=en_US&amp;offset=0&amp;query=any,contains,991002702869702656","Catalog Record")</f>
        <v/>
      </c>
      <c r="AT736">
        <f>HYPERLINK("http://www.worldcat.org/oclc/35285490","WorldCat Record")</f>
        <v/>
      </c>
      <c r="AU736" t="inlineStr">
        <is>
          <t>832957045:eng</t>
        </is>
      </c>
      <c r="AV736" t="inlineStr">
        <is>
          <t>35285490</t>
        </is>
      </c>
      <c r="AW736" t="inlineStr">
        <is>
          <t>991002702869702656</t>
        </is>
      </c>
      <c r="AX736" t="inlineStr">
        <is>
          <t>991002702869702656</t>
        </is>
      </c>
      <c r="AY736" t="inlineStr">
        <is>
          <t>2259284990002656</t>
        </is>
      </c>
      <c r="AZ736" t="inlineStr">
        <is>
          <t>BOOK</t>
        </is>
      </c>
      <c r="BB736" t="inlineStr">
        <is>
          <t>9780939512768</t>
        </is>
      </c>
      <c r="BC736" t="inlineStr">
        <is>
          <t>32285002544400</t>
        </is>
      </c>
      <c r="BD736" t="inlineStr">
        <is>
          <t>893233313</t>
        </is>
      </c>
    </row>
    <row r="737">
      <c r="A737" t="inlineStr">
        <is>
          <t>No</t>
        </is>
      </c>
      <c r="B737" t="inlineStr">
        <is>
          <t>PL747.55 .S239 1999</t>
        </is>
      </c>
      <c r="C737" t="inlineStr">
        <is>
          <t>0                      PL 0747550S  239         1999</t>
        </is>
      </c>
      <c r="D737" t="inlineStr">
        <is>
          <t>Recontextualizing texts : narrative performance in modern Japanese fiction / Atsuko Sakaki.</t>
        </is>
      </c>
      <c r="F737" t="inlineStr">
        <is>
          <t>No</t>
        </is>
      </c>
      <c r="G737" t="inlineStr">
        <is>
          <t>1</t>
        </is>
      </c>
      <c r="H737" t="inlineStr">
        <is>
          <t>No</t>
        </is>
      </c>
      <c r="I737" t="inlineStr">
        <is>
          <t>No</t>
        </is>
      </c>
      <c r="J737" t="inlineStr">
        <is>
          <t>0</t>
        </is>
      </c>
      <c r="K737" t="inlineStr">
        <is>
          <t>Sakaki, Atsuko, 1963-</t>
        </is>
      </c>
      <c r="L737" t="inlineStr">
        <is>
          <t>Cambridge, Mass. : Harvard University Asia Center : Distributed by Harvard University Press, 1999.</t>
        </is>
      </c>
      <c r="M737" t="inlineStr">
        <is>
          <t>1999</t>
        </is>
      </c>
      <c r="O737" t="inlineStr">
        <is>
          <t>eng</t>
        </is>
      </c>
      <c r="P737" t="inlineStr">
        <is>
          <t>mau</t>
        </is>
      </c>
      <c r="Q737" t="inlineStr">
        <is>
          <t>Harvard East Asian monographs ; 180</t>
        </is>
      </c>
      <c r="R737" t="inlineStr">
        <is>
          <t xml:space="preserve">PL </t>
        </is>
      </c>
      <c r="S737" t="n">
        <v>1</v>
      </c>
      <c r="T737" t="n">
        <v>1</v>
      </c>
      <c r="U737" t="inlineStr">
        <is>
          <t>2002-10-14</t>
        </is>
      </c>
      <c r="V737" t="inlineStr">
        <is>
          <t>2002-10-14</t>
        </is>
      </c>
      <c r="W737" t="inlineStr">
        <is>
          <t>2002-10-14</t>
        </is>
      </c>
      <c r="X737" t="inlineStr">
        <is>
          <t>2002-10-14</t>
        </is>
      </c>
      <c r="Y737" t="n">
        <v>229</v>
      </c>
      <c r="Z737" t="n">
        <v>176</v>
      </c>
      <c r="AA737" t="n">
        <v>231</v>
      </c>
      <c r="AB737" t="n">
        <v>2</v>
      </c>
      <c r="AC737" t="n">
        <v>3</v>
      </c>
      <c r="AD737" t="n">
        <v>5</v>
      </c>
      <c r="AE737" t="n">
        <v>11</v>
      </c>
      <c r="AF737" t="n">
        <v>2</v>
      </c>
      <c r="AG737" t="n">
        <v>6</v>
      </c>
      <c r="AH737" t="n">
        <v>1</v>
      </c>
      <c r="AI737" t="n">
        <v>2</v>
      </c>
      <c r="AJ737" t="n">
        <v>3</v>
      </c>
      <c r="AK737" t="n">
        <v>4</v>
      </c>
      <c r="AL737" t="n">
        <v>1</v>
      </c>
      <c r="AM737" t="n">
        <v>2</v>
      </c>
      <c r="AN737" t="n">
        <v>0</v>
      </c>
      <c r="AO737" t="n">
        <v>0</v>
      </c>
      <c r="AP737" t="inlineStr">
        <is>
          <t>No</t>
        </is>
      </c>
      <c r="AQ737" t="inlineStr">
        <is>
          <t>Yes</t>
        </is>
      </c>
      <c r="AR737">
        <f>HYPERLINK("http://catalog.hathitrust.org/Record/003339620","HathiTrust Record")</f>
        <v/>
      </c>
      <c r="AS737">
        <f>HYPERLINK("https://creighton-primo.hosted.exlibrisgroup.com/primo-explore/search?tab=default_tab&amp;search_scope=EVERYTHING&amp;vid=01CRU&amp;lang=en_US&amp;offset=0&amp;query=any,contains,991003913689702656","Catalog Record")</f>
        <v/>
      </c>
      <c r="AT737">
        <f>HYPERLINK("http://www.worldcat.org/oclc/40521291","WorldCat Record")</f>
        <v/>
      </c>
      <c r="AU737" t="inlineStr">
        <is>
          <t>795188275:eng</t>
        </is>
      </c>
      <c r="AV737" t="inlineStr">
        <is>
          <t>40521291</t>
        </is>
      </c>
      <c r="AW737" t="inlineStr">
        <is>
          <t>991003913689702656</t>
        </is>
      </c>
      <c r="AX737" t="inlineStr">
        <is>
          <t>991003913689702656</t>
        </is>
      </c>
      <c r="AY737" t="inlineStr">
        <is>
          <t>2270265060002656</t>
        </is>
      </c>
      <c r="AZ737" t="inlineStr">
        <is>
          <t>BOOK</t>
        </is>
      </c>
      <c r="BB737" t="inlineStr">
        <is>
          <t>9780674750944</t>
        </is>
      </c>
      <c r="BC737" t="inlineStr">
        <is>
          <t>32285004654710</t>
        </is>
      </c>
      <c r="BD737" t="inlineStr">
        <is>
          <t>893349380</t>
        </is>
      </c>
    </row>
    <row r="738">
      <c r="A738" t="inlineStr">
        <is>
          <t>No</t>
        </is>
      </c>
      <c r="B738" t="inlineStr">
        <is>
          <t>PL747.57.A85 S89 1996</t>
        </is>
      </c>
      <c r="C738" t="inlineStr">
        <is>
          <t>0                      PL 0747570A  85                 S  89          1996</t>
        </is>
      </c>
      <c r="D738" t="inlineStr">
        <is>
          <t>Narrating the self : fictions of Japanese modernity / Tomi Suzuki.</t>
        </is>
      </c>
      <c r="F738" t="inlineStr">
        <is>
          <t>No</t>
        </is>
      </c>
      <c r="G738" t="inlineStr">
        <is>
          <t>1</t>
        </is>
      </c>
      <c r="H738" t="inlineStr">
        <is>
          <t>No</t>
        </is>
      </c>
      <c r="I738" t="inlineStr">
        <is>
          <t>No</t>
        </is>
      </c>
      <c r="J738" t="inlineStr">
        <is>
          <t>0</t>
        </is>
      </c>
      <c r="K738" t="inlineStr">
        <is>
          <t>Suzuki, Tomi, 1951-</t>
        </is>
      </c>
      <c r="L738" t="inlineStr">
        <is>
          <t>Stanford, Calif. : Stanford University Press, 1996.</t>
        </is>
      </c>
      <c r="M738" t="inlineStr">
        <is>
          <t>1996</t>
        </is>
      </c>
      <c r="O738" t="inlineStr">
        <is>
          <t>eng</t>
        </is>
      </c>
      <c r="P738" t="inlineStr">
        <is>
          <t>cau</t>
        </is>
      </c>
      <c r="R738" t="inlineStr">
        <is>
          <t xml:space="preserve">PL </t>
        </is>
      </c>
      <c r="S738" t="n">
        <v>1</v>
      </c>
      <c r="T738" t="n">
        <v>1</v>
      </c>
      <c r="U738" t="inlineStr">
        <is>
          <t>2010-01-25</t>
        </is>
      </c>
      <c r="V738" t="inlineStr">
        <is>
          <t>2010-01-25</t>
        </is>
      </c>
      <c r="W738" t="inlineStr">
        <is>
          <t>1996-05-28</t>
        </is>
      </c>
      <c r="X738" t="inlineStr">
        <is>
          <t>1996-05-28</t>
        </is>
      </c>
      <c r="Y738" t="n">
        <v>323</v>
      </c>
      <c r="Z738" t="n">
        <v>241</v>
      </c>
      <c r="AA738" t="n">
        <v>249</v>
      </c>
      <c r="AB738" t="n">
        <v>2</v>
      </c>
      <c r="AC738" t="n">
        <v>2</v>
      </c>
      <c r="AD738" t="n">
        <v>13</v>
      </c>
      <c r="AE738" t="n">
        <v>13</v>
      </c>
      <c r="AF738" t="n">
        <v>5</v>
      </c>
      <c r="AG738" t="n">
        <v>5</v>
      </c>
      <c r="AH738" t="n">
        <v>4</v>
      </c>
      <c r="AI738" t="n">
        <v>4</v>
      </c>
      <c r="AJ738" t="n">
        <v>7</v>
      </c>
      <c r="AK738" t="n">
        <v>7</v>
      </c>
      <c r="AL738" t="n">
        <v>1</v>
      </c>
      <c r="AM738" t="n">
        <v>1</v>
      </c>
      <c r="AN738" t="n">
        <v>0</v>
      </c>
      <c r="AO738" t="n">
        <v>0</v>
      </c>
      <c r="AP738" t="inlineStr">
        <is>
          <t>No</t>
        </is>
      </c>
      <c r="AQ738" t="inlineStr">
        <is>
          <t>No</t>
        </is>
      </c>
      <c r="AS738">
        <f>HYPERLINK("https://creighton-primo.hosted.exlibrisgroup.com/primo-explore/search?tab=default_tab&amp;search_scope=EVERYTHING&amp;vid=01CRU&amp;lang=en_US&amp;offset=0&amp;query=any,contains,991002473959702656","Catalog Record")</f>
        <v/>
      </c>
      <c r="AT738">
        <f>HYPERLINK("http://www.worldcat.org/oclc/32203986","WorldCat Record")</f>
        <v/>
      </c>
      <c r="AU738" t="inlineStr">
        <is>
          <t>20204200:eng</t>
        </is>
      </c>
      <c r="AV738" t="inlineStr">
        <is>
          <t>32203986</t>
        </is>
      </c>
      <c r="AW738" t="inlineStr">
        <is>
          <t>991002473959702656</t>
        </is>
      </c>
      <c r="AX738" t="inlineStr">
        <is>
          <t>991002473959702656</t>
        </is>
      </c>
      <c r="AY738" t="inlineStr">
        <is>
          <t>2269225900002656</t>
        </is>
      </c>
      <c r="AZ738" t="inlineStr">
        <is>
          <t>BOOK</t>
        </is>
      </c>
      <c r="BB738" t="inlineStr">
        <is>
          <t>9780804725521</t>
        </is>
      </c>
      <c r="BC738" t="inlineStr">
        <is>
          <t>32285002177557</t>
        </is>
      </c>
      <c r="BD738" t="inlineStr">
        <is>
          <t>893903915</t>
        </is>
      </c>
    </row>
    <row r="739">
      <c r="A739" t="inlineStr">
        <is>
          <t>No</t>
        </is>
      </c>
      <c r="B739" t="inlineStr">
        <is>
          <t>PL747.57.M577 W37 1995</t>
        </is>
      </c>
      <c r="C739" t="inlineStr">
        <is>
          <t>0                      PL 0747570M  577                W  37          1995</t>
        </is>
      </c>
      <c r="D739" t="inlineStr">
        <is>
          <t>The dilemma of the modern in Japanese fiction / Dennis C. Washburn.</t>
        </is>
      </c>
      <c r="F739" t="inlineStr">
        <is>
          <t>No</t>
        </is>
      </c>
      <c r="G739" t="inlineStr">
        <is>
          <t>1</t>
        </is>
      </c>
      <c r="H739" t="inlineStr">
        <is>
          <t>No</t>
        </is>
      </c>
      <c r="I739" t="inlineStr">
        <is>
          <t>No</t>
        </is>
      </c>
      <c r="J739" t="inlineStr">
        <is>
          <t>0</t>
        </is>
      </c>
      <c r="K739" t="inlineStr">
        <is>
          <t>Washburn, Dennis C. (Dennis Charles), 1954-</t>
        </is>
      </c>
      <c r="L739" t="inlineStr">
        <is>
          <t>New Haven : Yale University Press, c1995.</t>
        </is>
      </c>
      <c r="M739" t="inlineStr">
        <is>
          <t>1995</t>
        </is>
      </c>
      <c r="O739" t="inlineStr">
        <is>
          <t>eng</t>
        </is>
      </c>
      <c r="P739" t="inlineStr">
        <is>
          <t>ctu</t>
        </is>
      </c>
      <c r="Q739" t="inlineStr">
        <is>
          <t>Studies of the East Asian Institute</t>
        </is>
      </c>
      <c r="R739" t="inlineStr">
        <is>
          <t xml:space="preserve">PL </t>
        </is>
      </c>
      <c r="S739" t="n">
        <v>2</v>
      </c>
      <c r="T739" t="n">
        <v>2</v>
      </c>
      <c r="U739" t="inlineStr">
        <is>
          <t>1999-03-24</t>
        </is>
      </c>
      <c r="V739" t="inlineStr">
        <is>
          <t>1999-03-24</t>
        </is>
      </c>
      <c r="W739" t="inlineStr">
        <is>
          <t>1996-05-06</t>
        </is>
      </c>
      <c r="X739" t="inlineStr">
        <is>
          <t>1996-05-06</t>
        </is>
      </c>
      <c r="Y739" t="n">
        <v>376</v>
      </c>
      <c r="Z739" t="n">
        <v>293</v>
      </c>
      <c r="AA739" t="n">
        <v>293</v>
      </c>
      <c r="AB739" t="n">
        <v>3</v>
      </c>
      <c r="AC739" t="n">
        <v>3</v>
      </c>
      <c r="AD739" t="n">
        <v>16</v>
      </c>
      <c r="AE739" t="n">
        <v>16</v>
      </c>
      <c r="AF739" t="n">
        <v>3</v>
      </c>
      <c r="AG739" t="n">
        <v>3</v>
      </c>
      <c r="AH739" t="n">
        <v>5</v>
      </c>
      <c r="AI739" t="n">
        <v>5</v>
      </c>
      <c r="AJ739" t="n">
        <v>10</v>
      </c>
      <c r="AK739" t="n">
        <v>10</v>
      </c>
      <c r="AL739" t="n">
        <v>2</v>
      </c>
      <c r="AM739" t="n">
        <v>2</v>
      </c>
      <c r="AN739" t="n">
        <v>0</v>
      </c>
      <c r="AO739" t="n">
        <v>0</v>
      </c>
      <c r="AP739" t="inlineStr">
        <is>
          <t>No</t>
        </is>
      </c>
      <c r="AQ739" t="inlineStr">
        <is>
          <t>No</t>
        </is>
      </c>
      <c r="AS739">
        <f>HYPERLINK("https://creighton-primo.hosted.exlibrisgroup.com/primo-explore/search?tab=default_tab&amp;search_scope=EVERYTHING&amp;vid=01CRU&amp;lang=en_US&amp;offset=0&amp;query=any,contains,991002389089702656","Catalog Record")</f>
        <v/>
      </c>
      <c r="AT739">
        <f>HYPERLINK("http://www.worldcat.org/oclc/31045031","WorldCat Record")</f>
        <v/>
      </c>
      <c r="AU739" t="inlineStr">
        <is>
          <t>2590115:eng</t>
        </is>
      </c>
      <c r="AV739" t="inlineStr">
        <is>
          <t>31045031</t>
        </is>
      </c>
      <c r="AW739" t="inlineStr">
        <is>
          <t>991002389089702656</t>
        </is>
      </c>
      <c r="AX739" t="inlineStr">
        <is>
          <t>991002389089702656</t>
        </is>
      </c>
      <c r="AY739" t="inlineStr">
        <is>
          <t>2262011300002656</t>
        </is>
      </c>
      <c r="AZ739" t="inlineStr">
        <is>
          <t>BOOK</t>
        </is>
      </c>
      <c r="BB739" t="inlineStr">
        <is>
          <t>9780300059977</t>
        </is>
      </c>
      <c r="BC739" t="inlineStr">
        <is>
          <t>32285002158870</t>
        </is>
      </c>
      <c r="BD739" t="inlineStr">
        <is>
          <t>893251154</t>
        </is>
      </c>
    </row>
    <row r="740">
      <c r="A740" t="inlineStr">
        <is>
          <t>No</t>
        </is>
      </c>
      <c r="B740" t="inlineStr">
        <is>
          <t>PL747.6 .W34</t>
        </is>
      </c>
      <c r="C740" t="inlineStr">
        <is>
          <t>0                      PL 0747600W  34</t>
        </is>
      </c>
      <c r="D740" t="inlineStr">
        <is>
          <t>The Japanese novel of the Meiji period and the ideal of individualism / by Janet A. Walker.</t>
        </is>
      </c>
      <c r="F740" t="inlineStr">
        <is>
          <t>No</t>
        </is>
      </c>
      <c r="G740" t="inlineStr">
        <is>
          <t>1</t>
        </is>
      </c>
      <c r="H740" t="inlineStr">
        <is>
          <t>No</t>
        </is>
      </c>
      <c r="I740" t="inlineStr">
        <is>
          <t>No</t>
        </is>
      </c>
      <c r="J740" t="inlineStr">
        <is>
          <t>0</t>
        </is>
      </c>
      <c r="K740" t="inlineStr">
        <is>
          <t>Walker, Janet A., 1942-</t>
        </is>
      </c>
      <c r="L740" t="inlineStr">
        <is>
          <t>Princeton, N.J. : Princeton University Press, c1979.</t>
        </is>
      </c>
      <c r="M740" t="inlineStr">
        <is>
          <t>1979</t>
        </is>
      </c>
      <c r="O740" t="inlineStr">
        <is>
          <t>eng</t>
        </is>
      </c>
      <c r="P740" t="inlineStr">
        <is>
          <t>nju</t>
        </is>
      </c>
      <c r="R740" t="inlineStr">
        <is>
          <t xml:space="preserve">PL </t>
        </is>
      </c>
      <c r="S740" t="n">
        <v>4</v>
      </c>
      <c r="T740" t="n">
        <v>4</v>
      </c>
      <c r="U740" t="inlineStr">
        <is>
          <t>1994-11-20</t>
        </is>
      </c>
      <c r="V740" t="inlineStr">
        <is>
          <t>1994-11-20</t>
        </is>
      </c>
      <c r="W740" t="inlineStr">
        <is>
          <t>1993-05-04</t>
        </is>
      </c>
      <c r="X740" t="inlineStr">
        <is>
          <t>1993-05-04</t>
        </is>
      </c>
      <c r="Y740" t="n">
        <v>570</v>
      </c>
      <c r="Z740" t="n">
        <v>470</v>
      </c>
      <c r="AA740" t="n">
        <v>626</v>
      </c>
      <c r="AB740" t="n">
        <v>3</v>
      </c>
      <c r="AC740" t="n">
        <v>3</v>
      </c>
      <c r="AD740" t="n">
        <v>20</v>
      </c>
      <c r="AE740" t="n">
        <v>27</v>
      </c>
      <c r="AF740" t="n">
        <v>9</v>
      </c>
      <c r="AG740" t="n">
        <v>13</v>
      </c>
      <c r="AH740" t="n">
        <v>4</v>
      </c>
      <c r="AI740" t="n">
        <v>7</v>
      </c>
      <c r="AJ740" t="n">
        <v>10</v>
      </c>
      <c r="AK740" t="n">
        <v>13</v>
      </c>
      <c r="AL740" t="n">
        <v>2</v>
      </c>
      <c r="AM740" t="n">
        <v>2</v>
      </c>
      <c r="AN740" t="n">
        <v>0</v>
      </c>
      <c r="AO740" t="n">
        <v>0</v>
      </c>
      <c r="AP740" t="inlineStr">
        <is>
          <t>No</t>
        </is>
      </c>
      <c r="AQ740" t="inlineStr">
        <is>
          <t>No</t>
        </is>
      </c>
      <c r="AS740">
        <f>HYPERLINK("https://creighton-primo.hosted.exlibrisgroup.com/primo-explore/search?tab=default_tab&amp;search_scope=EVERYTHING&amp;vid=01CRU&amp;lang=en_US&amp;offset=0&amp;query=any,contains,991004716799702656","Catalog Record")</f>
        <v/>
      </c>
      <c r="AT740">
        <f>HYPERLINK("http://www.worldcat.org/oclc/4776465","WorldCat Record")</f>
        <v/>
      </c>
      <c r="AU740" t="inlineStr">
        <is>
          <t>15037975:eng</t>
        </is>
      </c>
      <c r="AV740" t="inlineStr">
        <is>
          <t>4776465</t>
        </is>
      </c>
      <c r="AW740" t="inlineStr">
        <is>
          <t>991004716799702656</t>
        </is>
      </c>
      <c r="AX740" t="inlineStr">
        <is>
          <t>991004716799702656</t>
        </is>
      </c>
      <c r="AY740" t="inlineStr">
        <is>
          <t>2254822810002656</t>
        </is>
      </c>
      <c r="AZ740" t="inlineStr">
        <is>
          <t>BOOK</t>
        </is>
      </c>
      <c r="BB740" t="inlineStr">
        <is>
          <t>9780691064000</t>
        </is>
      </c>
      <c r="BC740" t="inlineStr">
        <is>
          <t>32285001671550</t>
        </is>
      </c>
      <c r="BD740" t="inlineStr">
        <is>
          <t>893235852</t>
        </is>
      </c>
    </row>
    <row r="741">
      <c r="A741" t="inlineStr">
        <is>
          <t>No</t>
        </is>
      </c>
      <c r="B741" t="inlineStr">
        <is>
          <t>PL747.67.R64 N3 1991</t>
        </is>
      </c>
      <c r="C741" t="inlineStr">
        <is>
          <t>0                      PL 0747670R  64                 N  3           1991</t>
        </is>
      </c>
      <c r="D741" t="inlineStr">
        <is>
          <t>Escape from the wasteland : romanticism and realism in the fiction of Mishima Yukio and Oe Kenzaburo / Susan J. Napier.</t>
        </is>
      </c>
      <c r="F741" t="inlineStr">
        <is>
          <t>No</t>
        </is>
      </c>
      <c r="G741" t="inlineStr">
        <is>
          <t>1</t>
        </is>
      </c>
      <c r="H741" t="inlineStr">
        <is>
          <t>No</t>
        </is>
      </c>
      <c r="I741" t="inlineStr">
        <is>
          <t>No</t>
        </is>
      </c>
      <c r="J741" t="inlineStr">
        <is>
          <t>0</t>
        </is>
      </c>
      <c r="K741" t="inlineStr">
        <is>
          <t>Napier, Susan Jolliffe.</t>
        </is>
      </c>
      <c r="L741" t="inlineStr">
        <is>
          <t>Cambridge, Mass. : Council on East Asian Studies, Harvard University : Distributed by Harvard University Press, 1991.</t>
        </is>
      </c>
      <c r="M741" t="inlineStr">
        <is>
          <t>1991</t>
        </is>
      </c>
      <c r="O741" t="inlineStr">
        <is>
          <t>eng</t>
        </is>
      </c>
      <c r="P741" t="inlineStr">
        <is>
          <t>mau</t>
        </is>
      </c>
      <c r="Q741" t="inlineStr">
        <is>
          <t>Harvard-Yenching Institute monograph series ; 33</t>
        </is>
      </c>
      <c r="R741" t="inlineStr">
        <is>
          <t xml:space="preserve">PL </t>
        </is>
      </c>
      <c r="S741" t="n">
        <v>1</v>
      </c>
      <c r="T741" t="n">
        <v>1</v>
      </c>
      <c r="U741" t="inlineStr">
        <is>
          <t>2006-11-21</t>
        </is>
      </c>
      <c r="V741" t="inlineStr">
        <is>
          <t>2006-11-21</t>
        </is>
      </c>
      <c r="W741" t="inlineStr">
        <is>
          <t>1999-10-11</t>
        </is>
      </c>
      <c r="X741" t="inlineStr">
        <is>
          <t>1999-10-11</t>
        </is>
      </c>
      <c r="Y741" t="n">
        <v>348</v>
      </c>
      <c r="Z741" t="n">
        <v>266</v>
      </c>
      <c r="AA741" t="n">
        <v>358</v>
      </c>
      <c r="AB741" t="n">
        <v>4</v>
      </c>
      <c r="AC741" t="n">
        <v>5</v>
      </c>
      <c r="AD741" t="n">
        <v>15</v>
      </c>
      <c r="AE741" t="n">
        <v>22</v>
      </c>
      <c r="AF741" t="n">
        <v>4</v>
      </c>
      <c r="AG741" t="n">
        <v>9</v>
      </c>
      <c r="AH741" t="n">
        <v>6</v>
      </c>
      <c r="AI741" t="n">
        <v>7</v>
      </c>
      <c r="AJ741" t="n">
        <v>6</v>
      </c>
      <c r="AK741" t="n">
        <v>7</v>
      </c>
      <c r="AL741" t="n">
        <v>3</v>
      </c>
      <c r="AM741" t="n">
        <v>4</v>
      </c>
      <c r="AN741" t="n">
        <v>0</v>
      </c>
      <c r="AO741" t="n">
        <v>0</v>
      </c>
      <c r="AP741" t="inlineStr">
        <is>
          <t>No</t>
        </is>
      </c>
      <c r="AQ741" t="inlineStr">
        <is>
          <t>Yes</t>
        </is>
      </c>
      <c r="AR741">
        <f>HYPERLINK("http://catalog.hathitrust.org/Record/002512734","HathiTrust Record")</f>
        <v/>
      </c>
      <c r="AS741">
        <f>HYPERLINK("https://creighton-primo.hosted.exlibrisgroup.com/primo-explore/search?tab=default_tab&amp;search_scope=EVERYTHING&amp;vid=01CRU&amp;lang=en_US&amp;offset=0&amp;query=any,contains,991001874319702656","Catalog Record")</f>
        <v/>
      </c>
      <c r="AT741">
        <f>HYPERLINK("http://www.worldcat.org/oclc/23654098","WorldCat Record")</f>
        <v/>
      </c>
      <c r="AU741" t="inlineStr">
        <is>
          <t>24810490:eng</t>
        </is>
      </c>
      <c r="AV741" t="inlineStr">
        <is>
          <t>23654098</t>
        </is>
      </c>
      <c r="AW741" t="inlineStr">
        <is>
          <t>991001874319702656</t>
        </is>
      </c>
      <c r="AX741" t="inlineStr">
        <is>
          <t>991001874319702656</t>
        </is>
      </c>
      <c r="AY741" t="inlineStr">
        <is>
          <t>2264773950002656</t>
        </is>
      </c>
      <c r="AZ741" t="inlineStr">
        <is>
          <t>BOOK</t>
        </is>
      </c>
      <c r="BB741" t="inlineStr">
        <is>
          <t>9780674261808</t>
        </is>
      </c>
      <c r="BC741" t="inlineStr">
        <is>
          <t>32285003594040</t>
        </is>
      </c>
      <c r="BD741" t="inlineStr">
        <is>
          <t>893522926</t>
        </is>
      </c>
    </row>
    <row r="742">
      <c r="A742" t="inlineStr">
        <is>
          <t>No</t>
        </is>
      </c>
      <c r="B742" t="inlineStr">
        <is>
          <t>PL747.8 .O34 1999</t>
        </is>
      </c>
      <c r="C742" t="inlineStr">
        <is>
          <t>0                      PL 0747800O  34          1999</t>
        </is>
      </c>
      <c r="D742" t="inlineStr">
        <is>
          <t>Ōe and beyond : fiction in contemporary Japan / edited by Stephen Snyder and Philip Gabriel.</t>
        </is>
      </c>
      <c r="F742" t="inlineStr">
        <is>
          <t>No</t>
        </is>
      </c>
      <c r="G742" t="inlineStr">
        <is>
          <t>1</t>
        </is>
      </c>
      <c r="H742" t="inlineStr">
        <is>
          <t>No</t>
        </is>
      </c>
      <c r="I742" t="inlineStr">
        <is>
          <t>No</t>
        </is>
      </c>
      <c r="J742" t="inlineStr">
        <is>
          <t>0</t>
        </is>
      </c>
      <c r="L742" t="inlineStr">
        <is>
          <t>Honolulu, Hawaii : University of Hawai'i Press, c1999.</t>
        </is>
      </c>
      <c r="M742" t="inlineStr">
        <is>
          <t>1999</t>
        </is>
      </c>
      <c r="O742" t="inlineStr">
        <is>
          <t>eng</t>
        </is>
      </c>
      <c r="P742" t="inlineStr">
        <is>
          <t>hiu</t>
        </is>
      </c>
      <c r="R742" t="inlineStr">
        <is>
          <t xml:space="preserve">PL </t>
        </is>
      </c>
      <c r="S742" t="n">
        <v>2</v>
      </c>
      <c r="T742" t="n">
        <v>2</v>
      </c>
      <c r="U742" t="inlineStr">
        <is>
          <t>2008-04-04</t>
        </is>
      </c>
      <c r="V742" t="inlineStr">
        <is>
          <t>2008-04-04</t>
        </is>
      </c>
      <c r="W742" t="inlineStr">
        <is>
          <t>2000-03-20</t>
        </is>
      </c>
      <c r="X742" t="inlineStr">
        <is>
          <t>2000-03-20</t>
        </is>
      </c>
      <c r="Y742" t="n">
        <v>569</v>
      </c>
      <c r="Z742" t="n">
        <v>452</v>
      </c>
      <c r="AA742" t="n">
        <v>1398</v>
      </c>
      <c r="AB742" t="n">
        <v>3</v>
      </c>
      <c r="AC742" t="n">
        <v>5</v>
      </c>
      <c r="AD742" t="n">
        <v>25</v>
      </c>
      <c r="AE742" t="n">
        <v>35</v>
      </c>
      <c r="AF742" t="n">
        <v>11</v>
      </c>
      <c r="AG742" t="n">
        <v>17</v>
      </c>
      <c r="AH742" t="n">
        <v>8</v>
      </c>
      <c r="AI742" t="n">
        <v>10</v>
      </c>
      <c r="AJ742" t="n">
        <v>12</v>
      </c>
      <c r="AK742" t="n">
        <v>15</v>
      </c>
      <c r="AL742" t="n">
        <v>2</v>
      </c>
      <c r="AM742" t="n">
        <v>4</v>
      </c>
      <c r="AN742" t="n">
        <v>0</v>
      </c>
      <c r="AO742" t="n">
        <v>0</v>
      </c>
      <c r="AP742" t="inlineStr">
        <is>
          <t>No</t>
        </is>
      </c>
      <c r="AQ742" t="inlineStr">
        <is>
          <t>Yes</t>
        </is>
      </c>
      <c r="AR742">
        <f>HYPERLINK("http://catalog.hathitrust.org/Record/004028967","HathiTrust Record")</f>
        <v/>
      </c>
      <c r="AS742">
        <f>HYPERLINK("https://creighton-primo.hosted.exlibrisgroup.com/primo-explore/search?tab=default_tab&amp;search_scope=EVERYTHING&amp;vid=01CRU&amp;lang=en_US&amp;offset=0&amp;query=any,contains,991002971429702656","Catalog Record")</f>
        <v/>
      </c>
      <c r="AT742">
        <f>HYPERLINK("http://www.worldcat.org/oclc/39787235","WorldCat Record")</f>
        <v/>
      </c>
      <c r="AU742" t="inlineStr">
        <is>
          <t>864032688:eng</t>
        </is>
      </c>
      <c r="AV742" t="inlineStr">
        <is>
          <t>39787235</t>
        </is>
      </c>
      <c r="AW742" t="inlineStr">
        <is>
          <t>991002971429702656</t>
        </is>
      </c>
      <c r="AX742" t="inlineStr">
        <is>
          <t>991002971429702656</t>
        </is>
      </c>
      <c r="AY742" t="inlineStr">
        <is>
          <t>2267354040002656</t>
        </is>
      </c>
      <c r="AZ742" t="inlineStr">
        <is>
          <t>BOOK</t>
        </is>
      </c>
      <c r="BB742" t="inlineStr">
        <is>
          <t>9780824820404</t>
        </is>
      </c>
      <c r="BC742" t="inlineStr">
        <is>
          <t>32285003672358</t>
        </is>
      </c>
      <c r="BD742" t="inlineStr">
        <is>
          <t>893786813</t>
        </is>
      </c>
    </row>
    <row r="743">
      <c r="A743" t="inlineStr">
        <is>
          <t>No</t>
        </is>
      </c>
      <c r="B743" t="inlineStr">
        <is>
          <t>PL747.82.M54 M65 2001</t>
        </is>
      </c>
      <c r="C743" t="inlineStr">
        <is>
          <t>0                      PL 0747820M  54                 M  65          2001</t>
        </is>
      </c>
      <c r="D743" t="inlineStr">
        <is>
          <t>The American occupation of Japan and Okinawa : literature and memory / Michael S. Molasky.</t>
        </is>
      </c>
      <c r="F743" t="inlineStr">
        <is>
          <t>No</t>
        </is>
      </c>
      <c r="G743" t="inlineStr">
        <is>
          <t>1</t>
        </is>
      </c>
      <c r="H743" t="inlineStr">
        <is>
          <t>No</t>
        </is>
      </c>
      <c r="I743" t="inlineStr">
        <is>
          <t>No</t>
        </is>
      </c>
      <c r="J743" t="inlineStr">
        <is>
          <t>0</t>
        </is>
      </c>
      <c r="K743" t="inlineStr">
        <is>
          <t>Molasky, Michael S., 1956-</t>
        </is>
      </c>
      <c r="L743" t="inlineStr">
        <is>
          <t>London ; New York : Routledge, 2001.</t>
        </is>
      </c>
      <c r="M743" t="inlineStr">
        <is>
          <t>2001</t>
        </is>
      </c>
      <c r="O743" t="inlineStr">
        <is>
          <t>eng</t>
        </is>
      </c>
      <c r="P743" t="inlineStr">
        <is>
          <t>enk</t>
        </is>
      </c>
      <c r="Q743" t="inlineStr">
        <is>
          <t>Routledge studies in Asia's transformations ; 1</t>
        </is>
      </c>
      <c r="R743" t="inlineStr">
        <is>
          <t xml:space="preserve">PL </t>
        </is>
      </c>
      <c r="S743" t="n">
        <v>3</v>
      </c>
      <c r="T743" t="n">
        <v>3</v>
      </c>
      <c r="U743" t="inlineStr">
        <is>
          <t>2005-12-05</t>
        </is>
      </c>
      <c r="V743" t="inlineStr">
        <is>
          <t>2005-12-05</t>
        </is>
      </c>
      <c r="W743" t="inlineStr">
        <is>
          <t>2002-01-22</t>
        </is>
      </c>
      <c r="X743" t="inlineStr">
        <is>
          <t>2002-01-22</t>
        </is>
      </c>
      <c r="Y743" t="n">
        <v>113</v>
      </c>
      <c r="Z743" t="n">
        <v>84</v>
      </c>
      <c r="AA743" t="n">
        <v>276</v>
      </c>
      <c r="AB743" t="n">
        <v>1</v>
      </c>
      <c r="AC743" t="n">
        <v>2</v>
      </c>
      <c r="AD743" t="n">
        <v>6</v>
      </c>
      <c r="AE743" t="n">
        <v>17</v>
      </c>
      <c r="AF743" t="n">
        <v>2</v>
      </c>
      <c r="AG743" t="n">
        <v>5</v>
      </c>
      <c r="AH743" t="n">
        <v>2</v>
      </c>
      <c r="AI743" t="n">
        <v>7</v>
      </c>
      <c r="AJ743" t="n">
        <v>2</v>
      </c>
      <c r="AK743" t="n">
        <v>9</v>
      </c>
      <c r="AL743" t="n">
        <v>0</v>
      </c>
      <c r="AM743" t="n">
        <v>1</v>
      </c>
      <c r="AN743" t="n">
        <v>0</v>
      </c>
      <c r="AO743" t="n">
        <v>0</v>
      </c>
      <c r="AP743" t="inlineStr">
        <is>
          <t>No</t>
        </is>
      </c>
      <c r="AQ743" t="inlineStr">
        <is>
          <t>No</t>
        </is>
      </c>
      <c r="AS743">
        <f>HYPERLINK("https://creighton-primo.hosted.exlibrisgroup.com/primo-explore/search?tab=default_tab&amp;search_scope=EVERYTHING&amp;vid=01CRU&amp;lang=en_US&amp;offset=0&amp;query=any,contains,991003696259702656","Catalog Record")</f>
        <v/>
      </c>
      <c r="AT743">
        <f>HYPERLINK("http://www.worldcat.org/oclc/46538472","WorldCat Record")</f>
        <v/>
      </c>
      <c r="AU743" t="inlineStr">
        <is>
          <t>801224607:eng</t>
        </is>
      </c>
      <c r="AV743" t="inlineStr">
        <is>
          <t>46538472</t>
        </is>
      </c>
      <c r="AW743" t="inlineStr">
        <is>
          <t>991003696259702656</t>
        </is>
      </c>
      <c r="AX743" t="inlineStr">
        <is>
          <t>991003696259702656</t>
        </is>
      </c>
      <c r="AY743" t="inlineStr">
        <is>
          <t>2267761390002656</t>
        </is>
      </c>
      <c r="AZ743" t="inlineStr">
        <is>
          <t>BOOK</t>
        </is>
      </c>
      <c r="BB743" t="inlineStr">
        <is>
          <t>9780415260442</t>
        </is>
      </c>
      <c r="BC743" t="inlineStr">
        <is>
          <t>32285004450325</t>
        </is>
      </c>
      <c r="BD743" t="inlineStr">
        <is>
          <t>893234464</t>
        </is>
      </c>
    </row>
    <row r="744">
      <c r="A744" t="inlineStr">
        <is>
          <t>No</t>
        </is>
      </c>
      <c r="B744" t="inlineStr">
        <is>
          <t>PL759 .B6 1981</t>
        </is>
      </c>
      <c r="C744" t="inlineStr">
        <is>
          <t>0                      PL 0759000B  6           1981</t>
        </is>
      </c>
      <c r="D744" t="inlineStr">
        <is>
          <t>Haiku / by R.H. Blyth.</t>
        </is>
      </c>
      <c r="E744" t="inlineStr">
        <is>
          <t>V.3</t>
        </is>
      </c>
      <c r="F744" t="inlineStr">
        <is>
          <t>Yes</t>
        </is>
      </c>
      <c r="G744" t="inlineStr">
        <is>
          <t>1</t>
        </is>
      </c>
      <c r="H744" t="inlineStr">
        <is>
          <t>No</t>
        </is>
      </c>
      <c r="I744" t="inlineStr">
        <is>
          <t>No</t>
        </is>
      </c>
      <c r="J744" t="inlineStr">
        <is>
          <t>0</t>
        </is>
      </c>
      <c r="K744" t="inlineStr">
        <is>
          <t>Blyth, Reginald Horace.</t>
        </is>
      </c>
      <c r="L744" t="inlineStr">
        <is>
          <t>Toyko : Hokuseido Press ; San Francisco, CA : Heian International, 1981-82.</t>
        </is>
      </c>
      <c r="M744" t="inlineStr">
        <is>
          <t>1981</t>
        </is>
      </c>
      <c r="N744" t="inlineStr">
        <is>
          <t>Pbk. ed.</t>
        </is>
      </c>
      <c r="O744" t="inlineStr">
        <is>
          <t>eng</t>
        </is>
      </c>
      <c r="P744" t="inlineStr">
        <is>
          <t xml:space="preserve">ja </t>
        </is>
      </c>
      <c r="R744" t="inlineStr">
        <is>
          <t xml:space="preserve">PL </t>
        </is>
      </c>
      <c r="S744" t="n">
        <v>7</v>
      </c>
      <c r="T744" t="n">
        <v>15</v>
      </c>
      <c r="U744" t="inlineStr">
        <is>
          <t>1993-11-19</t>
        </is>
      </c>
      <c r="V744" t="inlineStr">
        <is>
          <t>2010-03-04</t>
        </is>
      </c>
      <c r="W744" t="inlineStr">
        <is>
          <t>1990-09-20</t>
        </is>
      </c>
      <c r="X744" t="inlineStr">
        <is>
          <t>1990-09-20</t>
        </is>
      </c>
      <c r="Y744" t="n">
        <v>212</v>
      </c>
      <c r="Z744" t="n">
        <v>161</v>
      </c>
      <c r="AA744" t="n">
        <v>608</v>
      </c>
      <c r="AB744" t="n">
        <v>3</v>
      </c>
      <c r="AC744" t="n">
        <v>5</v>
      </c>
      <c r="AD744" t="n">
        <v>6</v>
      </c>
      <c r="AE744" t="n">
        <v>30</v>
      </c>
      <c r="AF744" t="n">
        <v>2</v>
      </c>
      <c r="AG744" t="n">
        <v>15</v>
      </c>
      <c r="AH744" t="n">
        <v>1</v>
      </c>
      <c r="AI744" t="n">
        <v>7</v>
      </c>
      <c r="AJ744" t="n">
        <v>3</v>
      </c>
      <c r="AK744" t="n">
        <v>12</v>
      </c>
      <c r="AL744" t="n">
        <v>2</v>
      </c>
      <c r="AM744" t="n">
        <v>4</v>
      </c>
      <c r="AN744" t="n">
        <v>0</v>
      </c>
      <c r="AO744" t="n">
        <v>0</v>
      </c>
      <c r="AP744" t="inlineStr">
        <is>
          <t>No</t>
        </is>
      </c>
      <c r="AQ744" t="inlineStr">
        <is>
          <t>Yes</t>
        </is>
      </c>
      <c r="AR744">
        <f>HYPERLINK("http://catalog.hathitrust.org/Record/101877192","HathiTrust Record")</f>
        <v/>
      </c>
      <c r="AS744">
        <f>HYPERLINK("https://creighton-primo.hosted.exlibrisgroup.com/primo-explore/search?tab=default_tab&amp;search_scope=EVERYTHING&amp;vid=01CRU&amp;lang=en_US&amp;offset=0&amp;query=any,contains,991005231779702656","Catalog Record")</f>
        <v/>
      </c>
      <c r="AT744">
        <f>HYPERLINK("http://www.worldcat.org/oclc/8343423","WorldCat Record")</f>
        <v/>
      </c>
      <c r="AU744" t="inlineStr">
        <is>
          <t>3372867575:eng</t>
        </is>
      </c>
      <c r="AV744" t="inlineStr">
        <is>
          <t>8343423</t>
        </is>
      </c>
      <c r="AW744" t="inlineStr">
        <is>
          <t>991005231779702656</t>
        </is>
      </c>
      <c r="AX744" t="inlineStr">
        <is>
          <t>991005231779702656</t>
        </is>
      </c>
      <c r="AY744" t="inlineStr">
        <is>
          <t>2260149910002656</t>
        </is>
      </c>
      <c r="AZ744" t="inlineStr">
        <is>
          <t>BOOK</t>
        </is>
      </c>
      <c r="BB744" t="inlineStr">
        <is>
          <t>9780893461584</t>
        </is>
      </c>
      <c r="BC744" t="inlineStr">
        <is>
          <t>32285000295567</t>
        </is>
      </c>
      <c r="BD744" t="inlineStr">
        <is>
          <t>893713689</t>
        </is>
      </c>
    </row>
    <row r="745">
      <c r="A745" t="inlineStr">
        <is>
          <t>No</t>
        </is>
      </c>
      <c r="B745" t="inlineStr">
        <is>
          <t>PL759 .B6 1981</t>
        </is>
      </c>
      <c r="C745" t="inlineStr">
        <is>
          <t>0                      PL 0759000B  6           1981</t>
        </is>
      </c>
      <c r="D745" t="inlineStr">
        <is>
          <t>Haiku / by R.H. Blyth.</t>
        </is>
      </c>
      <c r="E745" t="inlineStr">
        <is>
          <t>V.2</t>
        </is>
      </c>
      <c r="F745" t="inlineStr">
        <is>
          <t>Yes</t>
        </is>
      </c>
      <c r="G745" t="inlineStr">
        <is>
          <t>1</t>
        </is>
      </c>
      <c r="H745" t="inlineStr">
        <is>
          <t>No</t>
        </is>
      </c>
      <c r="I745" t="inlineStr">
        <is>
          <t>No</t>
        </is>
      </c>
      <c r="J745" t="inlineStr">
        <is>
          <t>0</t>
        </is>
      </c>
      <c r="K745" t="inlineStr">
        <is>
          <t>Blyth, Reginald Horace.</t>
        </is>
      </c>
      <c r="L745" t="inlineStr">
        <is>
          <t>Toyko : Hokuseido Press ; San Francisco, CA : Heian International, 1981-82.</t>
        </is>
      </c>
      <c r="M745" t="inlineStr">
        <is>
          <t>1981</t>
        </is>
      </c>
      <c r="N745" t="inlineStr">
        <is>
          <t>Pbk. ed.</t>
        </is>
      </c>
      <c r="O745" t="inlineStr">
        <is>
          <t>eng</t>
        </is>
      </c>
      <c r="P745" t="inlineStr">
        <is>
          <t xml:space="preserve">ja </t>
        </is>
      </c>
      <c r="R745" t="inlineStr">
        <is>
          <t xml:space="preserve">PL </t>
        </is>
      </c>
      <c r="S745" t="n">
        <v>4</v>
      </c>
      <c r="T745" t="n">
        <v>15</v>
      </c>
      <c r="U745" t="inlineStr">
        <is>
          <t>2010-03-04</t>
        </is>
      </c>
      <c r="V745" t="inlineStr">
        <is>
          <t>2010-03-04</t>
        </is>
      </c>
      <c r="W745" t="inlineStr">
        <is>
          <t>1990-09-20</t>
        </is>
      </c>
      <c r="X745" t="inlineStr">
        <is>
          <t>1990-09-20</t>
        </is>
      </c>
      <c r="Y745" t="n">
        <v>212</v>
      </c>
      <c r="Z745" t="n">
        <v>161</v>
      </c>
      <c r="AA745" t="n">
        <v>608</v>
      </c>
      <c r="AB745" t="n">
        <v>3</v>
      </c>
      <c r="AC745" t="n">
        <v>5</v>
      </c>
      <c r="AD745" t="n">
        <v>6</v>
      </c>
      <c r="AE745" t="n">
        <v>30</v>
      </c>
      <c r="AF745" t="n">
        <v>2</v>
      </c>
      <c r="AG745" t="n">
        <v>15</v>
      </c>
      <c r="AH745" t="n">
        <v>1</v>
      </c>
      <c r="AI745" t="n">
        <v>7</v>
      </c>
      <c r="AJ745" t="n">
        <v>3</v>
      </c>
      <c r="AK745" t="n">
        <v>12</v>
      </c>
      <c r="AL745" t="n">
        <v>2</v>
      </c>
      <c r="AM745" t="n">
        <v>4</v>
      </c>
      <c r="AN745" t="n">
        <v>0</v>
      </c>
      <c r="AO745" t="n">
        <v>0</v>
      </c>
      <c r="AP745" t="inlineStr">
        <is>
          <t>No</t>
        </is>
      </c>
      <c r="AQ745" t="inlineStr">
        <is>
          <t>Yes</t>
        </is>
      </c>
      <c r="AR745">
        <f>HYPERLINK("http://catalog.hathitrust.org/Record/101877192","HathiTrust Record")</f>
        <v/>
      </c>
      <c r="AS745">
        <f>HYPERLINK("https://creighton-primo.hosted.exlibrisgroup.com/primo-explore/search?tab=default_tab&amp;search_scope=EVERYTHING&amp;vid=01CRU&amp;lang=en_US&amp;offset=0&amp;query=any,contains,991005231779702656","Catalog Record")</f>
        <v/>
      </c>
      <c r="AT745">
        <f>HYPERLINK("http://www.worldcat.org/oclc/8343423","WorldCat Record")</f>
        <v/>
      </c>
      <c r="AU745" t="inlineStr">
        <is>
          <t>3372867575:eng</t>
        </is>
      </c>
      <c r="AV745" t="inlineStr">
        <is>
          <t>8343423</t>
        </is>
      </c>
      <c r="AW745" t="inlineStr">
        <is>
          <t>991005231779702656</t>
        </is>
      </c>
      <c r="AX745" t="inlineStr">
        <is>
          <t>991005231779702656</t>
        </is>
      </c>
      <c r="AY745" t="inlineStr">
        <is>
          <t>2260149910002656</t>
        </is>
      </c>
      <c r="AZ745" t="inlineStr">
        <is>
          <t>BOOK</t>
        </is>
      </c>
      <c r="BB745" t="inlineStr">
        <is>
          <t>9780893461584</t>
        </is>
      </c>
      <c r="BC745" t="inlineStr">
        <is>
          <t>32285000295559</t>
        </is>
      </c>
      <c r="BD745" t="inlineStr">
        <is>
          <t>893713690</t>
        </is>
      </c>
    </row>
    <row r="746">
      <c r="A746" t="inlineStr">
        <is>
          <t>No</t>
        </is>
      </c>
      <c r="B746" t="inlineStr">
        <is>
          <t>PL759 .B6 1981</t>
        </is>
      </c>
      <c r="C746" t="inlineStr">
        <is>
          <t>0                      PL 0759000B  6           1981</t>
        </is>
      </c>
      <c r="D746" t="inlineStr">
        <is>
          <t>Haiku / by R.H. Blyth.</t>
        </is>
      </c>
      <c r="E746" t="inlineStr">
        <is>
          <t>V.1</t>
        </is>
      </c>
      <c r="F746" t="inlineStr">
        <is>
          <t>Yes</t>
        </is>
      </c>
      <c r="G746" t="inlineStr">
        <is>
          <t>1</t>
        </is>
      </c>
      <c r="H746" t="inlineStr">
        <is>
          <t>No</t>
        </is>
      </c>
      <c r="I746" t="inlineStr">
        <is>
          <t>No</t>
        </is>
      </c>
      <c r="J746" t="inlineStr">
        <is>
          <t>0</t>
        </is>
      </c>
      <c r="K746" t="inlineStr">
        <is>
          <t>Blyth, Reginald Horace.</t>
        </is>
      </c>
      <c r="L746" t="inlineStr">
        <is>
          <t>Toyko : Hokuseido Press ; San Francisco, CA : Heian International, 1981-82.</t>
        </is>
      </c>
      <c r="M746" t="inlineStr">
        <is>
          <t>1981</t>
        </is>
      </c>
      <c r="N746" t="inlineStr">
        <is>
          <t>Pbk. ed.</t>
        </is>
      </c>
      <c r="O746" t="inlineStr">
        <is>
          <t>eng</t>
        </is>
      </c>
      <c r="P746" t="inlineStr">
        <is>
          <t xml:space="preserve">ja </t>
        </is>
      </c>
      <c r="R746" t="inlineStr">
        <is>
          <t xml:space="preserve">PL </t>
        </is>
      </c>
      <c r="S746" t="n">
        <v>4</v>
      </c>
      <c r="T746" t="n">
        <v>15</v>
      </c>
      <c r="U746" t="inlineStr">
        <is>
          <t>1997-06-26</t>
        </is>
      </c>
      <c r="V746" t="inlineStr">
        <is>
          <t>2010-03-04</t>
        </is>
      </c>
      <c r="W746" t="inlineStr">
        <is>
          <t>1990-09-20</t>
        </is>
      </c>
      <c r="X746" t="inlineStr">
        <is>
          <t>1990-09-20</t>
        </is>
      </c>
      <c r="Y746" t="n">
        <v>212</v>
      </c>
      <c r="Z746" t="n">
        <v>161</v>
      </c>
      <c r="AA746" t="n">
        <v>608</v>
      </c>
      <c r="AB746" t="n">
        <v>3</v>
      </c>
      <c r="AC746" t="n">
        <v>5</v>
      </c>
      <c r="AD746" t="n">
        <v>6</v>
      </c>
      <c r="AE746" t="n">
        <v>30</v>
      </c>
      <c r="AF746" t="n">
        <v>2</v>
      </c>
      <c r="AG746" t="n">
        <v>15</v>
      </c>
      <c r="AH746" t="n">
        <v>1</v>
      </c>
      <c r="AI746" t="n">
        <v>7</v>
      </c>
      <c r="AJ746" t="n">
        <v>3</v>
      </c>
      <c r="AK746" t="n">
        <v>12</v>
      </c>
      <c r="AL746" t="n">
        <v>2</v>
      </c>
      <c r="AM746" t="n">
        <v>4</v>
      </c>
      <c r="AN746" t="n">
        <v>0</v>
      </c>
      <c r="AO746" t="n">
        <v>0</v>
      </c>
      <c r="AP746" t="inlineStr">
        <is>
          <t>No</t>
        </is>
      </c>
      <c r="AQ746" t="inlineStr">
        <is>
          <t>Yes</t>
        </is>
      </c>
      <c r="AR746">
        <f>HYPERLINK("http://catalog.hathitrust.org/Record/101877192","HathiTrust Record")</f>
        <v/>
      </c>
      <c r="AS746">
        <f>HYPERLINK("https://creighton-primo.hosted.exlibrisgroup.com/primo-explore/search?tab=default_tab&amp;search_scope=EVERYTHING&amp;vid=01CRU&amp;lang=en_US&amp;offset=0&amp;query=any,contains,991005231779702656","Catalog Record")</f>
        <v/>
      </c>
      <c r="AT746">
        <f>HYPERLINK("http://www.worldcat.org/oclc/8343423","WorldCat Record")</f>
        <v/>
      </c>
      <c r="AU746" t="inlineStr">
        <is>
          <t>3372867575:eng</t>
        </is>
      </c>
      <c r="AV746" t="inlineStr">
        <is>
          <t>8343423</t>
        </is>
      </c>
      <c r="AW746" t="inlineStr">
        <is>
          <t>991005231779702656</t>
        </is>
      </c>
      <c r="AX746" t="inlineStr">
        <is>
          <t>991005231779702656</t>
        </is>
      </c>
      <c r="AY746" t="inlineStr">
        <is>
          <t>2260149910002656</t>
        </is>
      </c>
      <c r="AZ746" t="inlineStr">
        <is>
          <t>BOOK</t>
        </is>
      </c>
      <c r="BB746" t="inlineStr">
        <is>
          <t>9780893461584</t>
        </is>
      </c>
      <c r="BC746" t="inlineStr">
        <is>
          <t>32285000295542</t>
        </is>
      </c>
      <c r="BD746" t="inlineStr">
        <is>
          <t>893701239</t>
        </is>
      </c>
    </row>
    <row r="747">
      <c r="A747" t="inlineStr">
        <is>
          <t>No</t>
        </is>
      </c>
      <c r="B747" t="inlineStr">
        <is>
          <t>PL759 .M54 1970</t>
        </is>
      </c>
      <c r="C747" t="inlineStr">
        <is>
          <t>0                      PL 0759000M  54          1970</t>
        </is>
      </c>
      <c r="D747" t="inlineStr">
        <is>
          <t>An anthology of haiku, ancient and modern.</t>
        </is>
      </c>
      <c r="F747" t="inlineStr">
        <is>
          <t>No</t>
        </is>
      </c>
      <c r="G747" t="inlineStr">
        <is>
          <t>1</t>
        </is>
      </c>
      <c r="H747" t="inlineStr">
        <is>
          <t>No</t>
        </is>
      </c>
      <c r="I747" t="inlineStr">
        <is>
          <t>No</t>
        </is>
      </c>
      <c r="J747" t="inlineStr">
        <is>
          <t>0</t>
        </is>
      </c>
      <c r="K747" t="inlineStr">
        <is>
          <t>Miyamori, Asatarō, 1869-1952.</t>
        </is>
      </c>
      <c r="L747" t="inlineStr">
        <is>
          <t>Westport, Conn., Greenwood Press [1970]</t>
        </is>
      </c>
      <c r="M747" t="inlineStr">
        <is>
          <t>1970</t>
        </is>
      </c>
      <c r="O747" t="inlineStr">
        <is>
          <t>eng</t>
        </is>
      </c>
      <c r="P747" t="inlineStr">
        <is>
          <t>ctu</t>
        </is>
      </c>
      <c r="R747" t="inlineStr">
        <is>
          <t xml:space="preserve">PL </t>
        </is>
      </c>
      <c r="S747" t="n">
        <v>4</v>
      </c>
      <c r="T747" t="n">
        <v>4</v>
      </c>
      <c r="U747" t="inlineStr">
        <is>
          <t>2010-02-04</t>
        </is>
      </c>
      <c r="V747" t="inlineStr">
        <is>
          <t>2010-02-04</t>
        </is>
      </c>
      <c r="W747" t="inlineStr">
        <is>
          <t>1997-09-16</t>
        </is>
      </c>
      <c r="X747" t="inlineStr">
        <is>
          <t>1997-09-16</t>
        </is>
      </c>
      <c r="Y747" t="n">
        <v>184</v>
      </c>
      <c r="Z747" t="n">
        <v>163</v>
      </c>
      <c r="AA747" t="n">
        <v>250</v>
      </c>
      <c r="AB747" t="n">
        <v>1</v>
      </c>
      <c r="AC747" t="n">
        <v>3</v>
      </c>
      <c r="AD747" t="n">
        <v>6</v>
      </c>
      <c r="AE747" t="n">
        <v>9</v>
      </c>
      <c r="AF747" t="n">
        <v>1</v>
      </c>
      <c r="AG747" t="n">
        <v>1</v>
      </c>
      <c r="AH747" t="n">
        <v>1</v>
      </c>
      <c r="AI747" t="n">
        <v>2</v>
      </c>
      <c r="AJ747" t="n">
        <v>6</v>
      </c>
      <c r="AK747" t="n">
        <v>7</v>
      </c>
      <c r="AL747" t="n">
        <v>0</v>
      </c>
      <c r="AM747" t="n">
        <v>2</v>
      </c>
      <c r="AN747" t="n">
        <v>0</v>
      </c>
      <c r="AO747" t="n">
        <v>0</v>
      </c>
      <c r="AP747" t="inlineStr">
        <is>
          <t>No</t>
        </is>
      </c>
      <c r="AQ747" t="inlineStr">
        <is>
          <t>No</t>
        </is>
      </c>
      <c r="AS747">
        <f>HYPERLINK("https://creighton-primo.hosted.exlibrisgroup.com/primo-explore/search?tab=default_tab&amp;search_scope=EVERYTHING&amp;vid=01CRU&amp;lang=en_US&amp;offset=0&amp;query=any,contains,991000892829702656","Catalog Record")</f>
        <v/>
      </c>
      <c r="AT747">
        <f>HYPERLINK("http://www.worldcat.org/oclc/154847","WorldCat Record")</f>
        <v/>
      </c>
      <c r="AU747" t="inlineStr">
        <is>
          <t>10092885:eng</t>
        </is>
      </c>
      <c r="AV747" t="inlineStr">
        <is>
          <t>154847</t>
        </is>
      </c>
      <c r="AW747" t="inlineStr">
        <is>
          <t>991000892829702656</t>
        </is>
      </c>
      <c r="AX747" t="inlineStr">
        <is>
          <t>991000892829702656</t>
        </is>
      </c>
      <c r="AY747" t="inlineStr">
        <is>
          <t>2254810700002656</t>
        </is>
      </c>
      <c r="AZ747" t="inlineStr">
        <is>
          <t>BOOK</t>
        </is>
      </c>
      <c r="BB747" t="inlineStr">
        <is>
          <t>9780837139876</t>
        </is>
      </c>
      <c r="BC747" t="inlineStr">
        <is>
          <t>32285003224275</t>
        </is>
      </c>
      <c r="BD747" t="inlineStr">
        <is>
          <t>893714991</t>
        </is>
      </c>
    </row>
    <row r="748">
      <c r="A748" t="inlineStr">
        <is>
          <t>No</t>
        </is>
      </c>
      <c r="B748" t="inlineStr">
        <is>
          <t>PL777.115 .C57 1990</t>
        </is>
      </c>
      <c r="C748" t="inlineStr">
        <is>
          <t>0                      PL 0777115C  57          1990</t>
        </is>
      </c>
      <c r="D748" t="inlineStr">
        <is>
          <t>Classical Japanese prose : an anthology / compiled and edited by Helen Craig McCullough.</t>
        </is>
      </c>
      <c r="F748" t="inlineStr">
        <is>
          <t>No</t>
        </is>
      </c>
      <c r="G748" t="inlineStr">
        <is>
          <t>1</t>
        </is>
      </c>
      <c r="H748" t="inlineStr">
        <is>
          <t>No</t>
        </is>
      </c>
      <c r="I748" t="inlineStr">
        <is>
          <t>No</t>
        </is>
      </c>
      <c r="J748" t="inlineStr">
        <is>
          <t>0</t>
        </is>
      </c>
      <c r="L748" t="inlineStr">
        <is>
          <t>Stanford, Calif. : Stanford University Press, 1990.</t>
        </is>
      </c>
      <c r="M748" t="inlineStr">
        <is>
          <t>1990</t>
        </is>
      </c>
      <c r="O748" t="inlineStr">
        <is>
          <t>eng</t>
        </is>
      </c>
      <c r="P748" t="inlineStr">
        <is>
          <t>cau</t>
        </is>
      </c>
      <c r="R748" t="inlineStr">
        <is>
          <t xml:space="preserve">PL </t>
        </is>
      </c>
      <c r="S748" t="n">
        <v>5</v>
      </c>
      <c r="T748" t="n">
        <v>5</v>
      </c>
      <c r="U748" t="inlineStr">
        <is>
          <t>2005-01-25</t>
        </is>
      </c>
      <c r="V748" t="inlineStr">
        <is>
          <t>2005-01-25</t>
        </is>
      </c>
      <c r="W748" t="inlineStr">
        <is>
          <t>1997-09-15</t>
        </is>
      </c>
      <c r="X748" t="inlineStr">
        <is>
          <t>1997-09-15</t>
        </is>
      </c>
      <c r="Y748" t="n">
        <v>456</v>
      </c>
      <c r="Z748" t="n">
        <v>358</v>
      </c>
      <c r="AA748" t="n">
        <v>375</v>
      </c>
      <c r="AB748" t="n">
        <v>3</v>
      </c>
      <c r="AC748" t="n">
        <v>3</v>
      </c>
      <c r="AD748" t="n">
        <v>16</v>
      </c>
      <c r="AE748" t="n">
        <v>17</v>
      </c>
      <c r="AF748" t="n">
        <v>4</v>
      </c>
      <c r="AG748" t="n">
        <v>5</v>
      </c>
      <c r="AH748" t="n">
        <v>5</v>
      </c>
      <c r="AI748" t="n">
        <v>5</v>
      </c>
      <c r="AJ748" t="n">
        <v>8</v>
      </c>
      <c r="AK748" t="n">
        <v>8</v>
      </c>
      <c r="AL748" t="n">
        <v>2</v>
      </c>
      <c r="AM748" t="n">
        <v>2</v>
      </c>
      <c r="AN748" t="n">
        <v>0</v>
      </c>
      <c r="AO748" t="n">
        <v>0</v>
      </c>
      <c r="AP748" t="inlineStr">
        <is>
          <t>No</t>
        </is>
      </c>
      <c r="AQ748" t="inlineStr">
        <is>
          <t>No</t>
        </is>
      </c>
      <c r="AS748">
        <f>HYPERLINK("https://creighton-primo.hosted.exlibrisgroup.com/primo-explore/search?tab=default_tab&amp;search_scope=EVERYTHING&amp;vid=01CRU&amp;lang=en_US&amp;offset=0&amp;query=any,contains,991001632329702656","Catalog Record")</f>
        <v/>
      </c>
      <c r="AT748">
        <f>HYPERLINK("http://www.worldcat.org/oclc/20931626","WorldCat Record")</f>
        <v/>
      </c>
      <c r="AU748" t="inlineStr">
        <is>
          <t>857262592:eng</t>
        </is>
      </c>
      <c r="AV748" t="inlineStr">
        <is>
          <t>20931626</t>
        </is>
      </c>
      <c r="AW748" t="inlineStr">
        <is>
          <t>991001632329702656</t>
        </is>
      </c>
      <c r="AX748" t="inlineStr">
        <is>
          <t>991001632329702656</t>
        </is>
      </c>
      <c r="AY748" t="inlineStr">
        <is>
          <t>2266070830002656</t>
        </is>
      </c>
      <c r="AZ748" t="inlineStr">
        <is>
          <t>BOOK</t>
        </is>
      </c>
      <c r="BB748" t="inlineStr">
        <is>
          <t>9780804716284</t>
        </is>
      </c>
      <c r="BC748" t="inlineStr">
        <is>
          <t>32285003175972</t>
        </is>
      </c>
      <c r="BD748" t="inlineStr">
        <is>
          <t>893866350</t>
        </is>
      </c>
    </row>
    <row r="749">
      <c r="A749" t="inlineStr">
        <is>
          <t>No</t>
        </is>
      </c>
      <c r="B749" t="inlineStr">
        <is>
          <t>PL782.E1 C55 2005</t>
        </is>
      </c>
      <c r="C749" t="inlineStr">
        <is>
          <t>0                      PL 0782000E  1                  C  55          2005</t>
        </is>
      </c>
      <c r="D749" t="inlineStr">
        <is>
          <t>The Columbia anthology of modern Japanese literature / edited by J. Thomas Rimer and Van C. Gessel.</t>
        </is>
      </c>
      <c r="E749" t="inlineStr">
        <is>
          <t>V. 1</t>
        </is>
      </c>
      <c r="F749" t="inlineStr">
        <is>
          <t>Yes</t>
        </is>
      </c>
      <c r="G749" t="inlineStr">
        <is>
          <t>1</t>
        </is>
      </c>
      <c r="H749" t="inlineStr">
        <is>
          <t>No</t>
        </is>
      </c>
      <c r="I749" t="inlineStr">
        <is>
          <t>No</t>
        </is>
      </c>
      <c r="J749" t="inlineStr">
        <is>
          <t>0</t>
        </is>
      </c>
      <c r="L749" t="inlineStr">
        <is>
          <t>New York, N.Y. : Columbia University Press, c2005-c2007.</t>
        </is>
      </c>
      <c r="M749" t="inlineStr">
        <is>
          <t>2005</t>
        </is>
      </c>
      <c r="O749" t="inlineStr">
        <is>
          <t>eng</t>
        </is>
      </c>
      <c r="P749" t="inlineStr">
        <is>
          <t>nyu</t>
        </is>
      </c>
      <c r="Q749" t="inlineStr">
        <is>
          <t>Modern Asian literature</t>
        </is>
      </c>
      <c r="R749" t="inlineStr">
        <is>
          <t xml:space="preserve">PL </t>
        </is>
      </c>
      <c r="S749" t="n">
        <v>0</v>
      </c>
      <c r="T749" t="n">
        <v>1</v>
      </c>
      <c r="V749" t="inlineStr">
        <is>
          <t>2009-04-01</t>
        </is>
      </c>
      <c r="W749" t="inlineStr">
        <is>
          <t>2009-04-29</t>
        </is>
      </c>
      <c r="X749" t="inlineStr">
        <is>
          <t>2009-04-29</t>
        </is>
      </c>
      <c r="Y749" t="n">
        <v>795</v>
      </c>
      <c r="Z749" t="n">
        <v>685</v>
      </c>
      <c r="AA749" t="n">
        <v>883</v>
      </c>
      <c r="AB749" t="n">
        <v>6</v>
      </c>
      <c r="AC749" t="n">
        <v>7</v>
      </c>
      <c r="AD749" t="n">
        <v>37</v>
      </c>
      <c r="AE749" t="n">
        <v>38</v>
      </c>
      <c r="AF749" t="n">
        <v>17</v>
      </c>
      <c r="AG749" t="n">
        <v>17</v>
      </c>
      <c r="AH749" t="n">
        <v>10</v>
      </c>
      <c r="AI749" t="n">
        <v>10</v>
      </c>
      <c r="AJ749" t="n">
        <v>16</v>
      </c>
      <c r="AK749" t="n">
        <v>16</v>
      </c>
      <c r="AL749" t="n">
        <v>5</v>
      </c>
      <c r="AM749" t="n">
        <v>6</v>
      </c>
      <c r="AN749" t="n">
        <v>0</v>
      </c>
      <c r="AO749" t="n">
        <v>0</v>
      </c>
      <c r="AP749" t="inlineStr">
        <is>
          <t>No</t>
        </is>
      </c>
      <c r="AQ749" t="inlineStr">
        <is>
          <t>Yes</t>
        </is>
      </c>
      <c r="AR749">
        <f>HYPERLINK("http://catalog.hathitrust.org/Record/004990005","HathiTrust Record")</f>
        <v/>
      </c>
      <c r="AS749">
        <f>HYPERLINK("https://creighton-primo.hosted.exlibrisgroup.com/primo-explore/search?tab=default_tab&amp;search_scope=EVERYTHING&amp;vid=01CRU&amp;lang=en_US&amp;offset=0&amp;query=any,contains,991005307129702656","Catalog Record")</f>
        <v/>
      </c>
      <c r="AT749">
        <f>HYPERLINK("http://www.worldcat.org/oclc/56334254","WorldCat Record")</f>
        <v/>
      </c>
      <c r="AU749" t="inlineStr">
        <is>
          <t>3901478553:eng</t>
        </is>
      </c>
      <c r="AV749" t="inlineStr">
        <is>
          <t>56334254</t>
        </is>
      </c>
      <c r="AW749" t="inlineStr">
        <is>
          <t>991005307129702656</t>
        </is>
      </c>
      <c r="AX749" t="inlineStr">
        <is>
          <t>991005307129702656</t>
        </is>
      </c>
      <c r="AY749" t="inlineStr">
        <is>
          <t>2268020280002656</t>
        </is>
      </c>
      <c r="AZ749" t="inlineStr">
        <is>
          <t>BOOK</t>
        </is>
      </c>
      <c r="BB749" t="inlineStr">
        <is>
          <t>9780231118606</t>
        </is>
      </c>
      <c r="BC749" t="inlineStr">
        <is>
          <t>32285005124838</t>
        </is>
      </c>
      <c r="BD749" t="inlineStr">
        <is>
          <t>893431209</t>
        </is>
      </c>
    </row>
    <row r="750">
      <c r="A750" t="inlineStr">
        <is>
          <t>No</t>
        </is>
      </c>
      <c r="B750" t="inlineStr">
        <is>
          <t>PL782.E1 C55 2005</t>
        </is>
      </c>
      <c r="C750" t="inlineStr">
        <is>
          <t>0                      PL 0782000E  1                  C  55          2005</t>
        </is>
      </c>
      <c r="D750" t="inlineStr">
        <is>
          <t>The Columbia anthology of modern Japanese literature / edited by J. Thomas Rimer and Van C. Gessel.</t>
        </is>
      </c>
      <c r="E750" t="inlineStr">
        <is>
          <t>V. 2</t>
        </is>
      </c>
      <c r="F750" t="inlineStr">
        <is>
          <t>Yes</t>
        </is>
      </c>
      <c r="G750" t="inlineStr">
        <is>
          <t>1</t>
        </is>
      </c>
      <c r="H750" t="inlineStr">
        <is>
          <t>No</t>
        </is>
      </c>
      <c r="I750" t="inlineStr">
        <is>
          <t>No</t>
        </is>
      </c>
      <c r="J750" t="inlineStr">
        <is>
          <t>0</t>
        </is>
      </c>
      <c r="L750" t="inlineStr">
        <is>
          <t>New York, N.Y. : Columbia University Press, c2005-c2007.</t>
        </is>
      </c>
      <c r="M750" t="inlineStr">
        <is>
          <t>2005</t>
        </is>
      </c>
      <c r="O750" t="inlineStr">
        <is>
          <t>eng</t>
        </is>
      </c>
      <c r="P750" t="inlineStr">
        <is>
          <t>nyu</t>
        </is>
      </c>
      <c r="Q750" t="inlineStr">
        <is>
          <t>Modern Asian literature</t>
        </is>
      </c>
      <c r="R750" t="inlineStr">
        <is>
          <t xml:space="preserve">PL </t>
        </is>
      </c>
      <c r="S750" t="n">
        <v>1</v>
      </c>
      <c r="T750" t="n">
        <v>1</v>
      </c>
      <c r="U750" t="inlineStr">
        <is>
          <t>2009-04-01</t>
        </is>
      </c>
      <c r="V750" t="inlineStr">
        <is>
          <t>2009-04-01</t>
        </is>
      </c>
      <c r="W750" t="inlineStr">
        <is>
          <t>2009-04-01</t>
        </is>
      </c>
      <c r="X750" t="inlineStr">
        <is>
          <t>2009-04-29</t>
        </is>
      </c>
      <c r="Y750" t="n">
        <v>795</v>
      </c>
      <c r="Z750" t="n">
        <v>685</v>
      </c>
      <c r="AA750" t="n">
        <v>883</v>
      </c>
      <c r="AB750" t="n">
        <v>6</v>
      </c>
      <c r="AC750" t="n">
        <v>7</v>
      </c>
      <c r="AD750" t="n">
        <v>37</v>
      </c>
      <c r="AE750" t="n">
        <v>38</v>
      </c>
      <c r="AF750" t="n">
        <v>17</v>
      </c>
      <c r="AG750" t="n">
        <v>17</v>
      </c>
      <c r="AH750" t="n">
        <v>10</v>
      </c>
      <c r="AI750" t="n">
        <v>10</v>
      </c>
      <c r="AJ750" t="n">
        <v>16</v>
      </c>
      <c r="AK750" t="n">
        <v>16</v>
      </c>
      <c r="AL750" t="n">
        <v>5</v>
      </c>
      <c r="AM750" t="n">
        <v>6</v>
      </c>
      <c r="AN750" t="n">
        <v>0</v>
      </c>
      <c r="AO750" t="n">
        <v>0</v>
      </c>
      <c r="AP750" t="inlineStr">
        <is>
          <t>No</t>
        </is>
      </c>
      <c r="AQ750" t="inlineStr">
        <is>
          <t>Yes</t>
        </is>
      </c>
      <c r="AR750">
        <f>HYPERLINK("http://catalog.hathitrust.org/Record/004990005","HathiTrust Record")</f>
        <v/>
      </c>
      <c r="AS750">
        <f>HYPERLINK("https://creighton-primo.hosted.exlibrisgroup.com/primo-explore/search?tab=default_tab&amp;search_scope=EVERYTHING&amp;vid=01CRU&amp;lang=en_US&amp;offset=0&amp;query=any,contains,991005307129702656","Catalog Record")</f>
        <v/>
      </c>
      <c r="AT750">
        <f>HYPERLINK("http://www.worldcat.org/oclc/56334254","WorldCat Record")</f>
        <v/>
      </c>
      <c r="AU750" t="inlineStr">
        <is>
          <t>3901478553:eng</t>
        </is>
      </c>
      <c r="AV750" t="inlineStr">
        <is>
          <t>56334254</t>
        </is>
      </c>
      <c r="AW750" t="inlineStr">
        <is>
          <t>991005307129702656</t>
        </is>
      </c>
      <c r="AX750" t="inlineStr">
        <is>
          <t>991005307129702656</t>
        </is>
      </c>
      <c r="AY750" t="inlineStr">
        <is>
          <t>2268020280002656</t>
        </is>
      </c>
      <c r="AZ750" t="inlineStr">
        <is>
          <t>BOOK</t>
        </is>
      </c>
      <c r="BB750" t="inlineStr">
        <is>
          <t>9780231118606</t>
        </is>
      </c>
      <c r="BC750" t="inlineStr">
        <is>
          <t>32285005512719</t>
        </is>
      </c>
      <c r="BD750" t="inlineStr">
        <is>
          <t>893431208</t>
        </is>
      </c>
    </row>
    <row r="751">
      <c r="A751" t="inlineStr">
        <is>
          <t>No</t>
        </is>
      </c>
      <c r="B751" t="inlineStr">
        <is>
          <t>PL782.E1 C6 1978</t>
        </is>
      </c>
      <c r="C751" t="inlineStr">
        <is>
          <t>0                      PL 0782000E  1                  C  6           1978</t>
        </is>
      </c>
      <c r="D751" t="inlineStr">
        <is>
          <t>Contemporary Japanese literature : an anthology of fiction, film, and other writing since 1945 / edited by Howard Hibbett.</t>
        </is>
      </c>
      <c r="F751" t="inlineStr">
        <is>
          <t>No</t>
        </is>
      </c>
      <c r="G751" t="inlineStr">
        <is>
          <t>1</t>
        </is>
      </c>
      <c r="H751" t="inlineStr">
        <is>
          <t>No</t>
        </is>
      </c>
      <c r="I751" t="inlineStr">
        <is>
          <t>Yes</t>
        </is>
      </c>
      <c r="J751" t="inlineStr">
        <is>
          <t>0</t>
        </is>
      </c>
      <c r="L751" t="inlineStr">
        <is>
          <t>Tokyo : C.E. Tuttle, 1978, c1977.</t>
        </is>
      </c>
      <c r="M751" t="inlineStr">
        <is>
          <t>1978</t>
        </is>
      </c>
      <c r="N751" t="inlineStr">
        <is>
          <t>1st Tuttle ed.</t>
        </is>
      </c>
      <c r="O751" t="inlineStr">
        <is>
          <t>eng</t>
        </is>
      </c>
      <c r="P751" t="inlineStr">
        <is>
          <t xml:space="preserve">ja </t>
        </is>
      </c>
      <c r="R751" t="inlineStr">
        <is>
          <t xml:space="preserve">PL </t>
        </is>
      </c>
      <c r="S751" t="n">
        <v>4</v>
      </c>
      <c r="T751" t="n">
        <v>4</v>
      </c>
      <c r="U751" t="inlineStr">
        <is>
          <t>2001-03-14</t>
        </is>
      </c>
      <c r="V751" t="inlineStr">
        <is>
          <t>2001-03-14</t>
        </is>
      </c>
      <c r="W751" t="inlineStr">
        <is>
          <t>1993-05-04</t>
        </is>
      </c>
      <c r="X751" t="inlineStr">
        <is>
          <t>1993-05-04</t>
        </is>
      </c>
      <c r="Y751" t="n">
        <v>33</v>
      </c>
      <c r="Z751" t="n">
        <v>14</v>
      </c>
      <c r="AA751" t="n">
        <v>1211</v>
      </c>
      <c r="AB751" t="n">
        <v>1</v>
      </c>
      <c r="AC751" t="n">
        <v>7</v>
      </c>
      <c r="AD751" t="n">
        <v>0</v>
      </c>
      <c r="AE751" t="n">
        <v>40</v>
      </c>
      <c r="AF751" t="n">
        <v>0</v>
      </c>
      <c r="AG751" t="n">
        <v>17</v>
      </c>
      <c r="AH751" t="n">
        <v>0</v>
      </c>
      <c r="AI751" t="n">
        <v>9</v>
      </c>
      <c r="AJ751" t="n">
        <v>0</v>
      </c>
      <c r="AK751" t="n">
        <v>19</v>
      </c>
      <c r="AL751" t="n">
        <v>0</v>
      </c>
      <c r="AM751" t="n">
        <v>5</v>
      </c>
      <c r="AN751" t="n">
        <v>0</v>
      </c>
      <c r="AO751" t="n">
        <v>0</v>
      </c>
      <c r="AP751" t="inlineStr">
        <is>
          <t>No</t>
        </is>
      </c>
      <c r="AQ751" t="inlineStr">
        <is>
          <t>No</t>
        </is>
      </c>
      <c r="AS751">
        <f>HYPERLINK("https://creighton-primo.hosted.exlibrisgroup.com/primo-explore/search?tab=default_tab&amp;search_scope=EVERYTHING&amp;vid=01CRU&amp;lang=en_US&amp;offset=0&amp;query=any,contains,991004833999702656","Catalog Record")</f>
        <v/>
      </c>
      <c r="AT751">
        <f>HYPERLINK("http://www.worldcat.org/oclc/5429299","WorldCat Record")</f>
        <v/>
      </c>
      <c r="AU751" t="inlineStr">
        <is>
          <t>54167412:eng</t>
        </is>
      </c>
      <c r="AV751" t="inlineStr">
        <is>
          <t>5429299</t>
        </is>
      </c>
      <c r="AW751" t="inlineStr">
        <is>
          <t>991004833999702656</t>
        </is>
      </c>
      <c r="AX751" t="inlineStr">
        <is>
          <t>991004833999702656</t>
        </is>
      </c>
      <c r="AY751" t="inlineStr">
        <is>
          <t>2259650580002656</t>
        </is>
      </c>
      <c r="AZ751" t="inlineStr">
        <is>
          <t>BOOK</t>
        </is>
      </c>
      <c r="BB751" t="inlineStr">
        <is>
          <t>0291000445461</t>
        </is>
      </c>
      <c r="BC751" t="inlineStr">
        <is>
          <t>32285001671568</t>
        </is>
      </c>
      <c r="BD751" t="inlineStr">
        <is>
          <t>893795314</t>
        </is>
      </c>
    </row>
    <row r="752">
      <c r="A752" t="inlineStr">
        <is>
          <t>No</t>
        </is>
      </c>
      <c r="B752" t="inlineStr">
        <is>
          <t>PL782.E3 B4</t>
        </is>
      </c>
      <c r="C752" t="inlineStr">
        <is>
          <t>0                      PL 0782000E  3                  B  4</t>
        </is>
      </c>
      <c r="D752" t="inlineStr">
        <is>
          <t>Cricket songs; Japanese haiku. With pictures selected from Sesshu and other Japanese masters.</t>
        </is>
      </c>
      <c r="F752" t="inlineStr">
        <is>
          <t>No</t>
        </is>
      </c>
      <c r="G752" t="inlineStr">
        <is>
          <t>1</t>
        </is>
      </c>
      <c r="H752" t="inlineStr">
        <is>
          <t>No</t>
        </is>
      </c>
      <c r="I752" t="inlineStr">
        <is>
          <t>No</t>
        </is>
      </c>
      <c r="J752" t="inlineStr">
        <is>
          <t>0</t>
        </is>
      </c>
      <c r="K752" t="inlineStr">
        <is>
          <t>Behn, Harry compiler, translator.</t>
        </is>
      </c>
      <c r="L752" t="inlineStr">
        <is>
          <t>New York, Harcourt, Brace &amp; World [1964]</t>
        </is>
      </c>
      <c r="M752" t="inlineStr">
        <is>
          <t>1964</t>
        </is>
      </c>
      <c r="O752" t="inlineStr">
        <is>
          <t>eng</t>
        </is>
      </c>
      <c r="P752" t="inlineStr">
        <is>
          <t>nyu</t>
        </is>
      </c>
      <c r="R752" t="inlineStr">
        <is>
          <t xml:space="preserve">PL </t>
        </is>
      </c>
      <c r="S752" t="n">
        <v>1</v>
      </c>
      <c r="T752" t="n">
        <v>1</v>
      </c>
      <c r="U752" t="inlineStr">
        <is>
          <t>2000-10-31</t>
        </is>
      </c>
      <c r="V752" t="inlineStr">
        <is>
          <t>2000-10-31</t>
        </is>
      </c>
      <c r="W752" t="inlineStr">
        <is>
          <t>1997-09-16</t>
        </is>
      </c>
      <c r="X752" t="inlineStr">
        <is>
          <t>1997-09-16</t>
        </is>
      </c>
      <c r="Y752" t="n">
        <v>1150</v>
      </c>
      <c r="Z752" t="n">
        <v>1122</v>
      </c>
      <c r="AA752" t="n">
        <v>1133</v>
      </c>
      <c r="AB752" t="n">
        <v>9</v>
      </c>
      <c r="AC752" t="n">
        <v>9</v>
      </c>
      <c r="AD752" t="n">
        <v>21</v>
      </c>
      <c r="AE752" t="n">
        <v>21</v>
      </c>
      <c r="AF752" t="n">
        <v>7</v>
      </c>
      <c r="AG752" t="n">
        <v>7</v>
      </c>
      <c r="AH752" t="n">
        <v>5</v>
      </c>
      <c r="AI752" t="n">
        <v>5</v>
      </c>
      <c r="AJ752" t="n">
        <v>5</v>
      </c>
      <c r="AK752" t="n">
        <v>5</v>
      </c>
      <c r="AL752" t="n">
        <v>6</v>
      </c>
      <c r="AM752" t="n">
        <v>6</v>
      </c>
      <c r="AN752" t="n">
        <v>0</v>
      </c>
      <c r="AO752" t="n">
        <v>0</v>
      </c>
      <c r="AP752" t="inlineStr">
        <is>
          <t>No</t>
        </is>
      </c>
      <c r="AQ752" t="inlineStr">
        <is>
          <t>Yes</t>
        </is>
      </c>
      <c r="AR752">
        <f>HYPERLINK("http://catalog.hathitrust.org/Record/001184754","HathiTrust Record")</f>
        <v/>
      </c>
      <c r="AS752">
        <f>HYPERLINK("https://creighton-primo.hosted.exlibrisgroup.com/primo-explore/search?tab=default_tab&amp;search_scope=EVERYTHING&amp;vid=01CRU&amp;lang=en_US&amp;offset=0&amp;query=any,contains,991003594079702656","Catalog Record")</f>
        <v/>
      </c>
      <c r="AT752">
        <f>HYPERLINK("http://www.worldcat.org/oclc/1175480","WorldCat Record")</f>
        <v/>
      </c>
      <c r="AU752" t="inlineStr">
        <is>
          <t>413456:eng</t>
        </is>
      </c>
      <c r="AV752" t="inlineStr">
        <is>
          <t>1175480</t>
        </is>
      </c>
      <c r="AW752" t="inlineStr">
        <is>
          <t>991003594079702656</t>
        </is>
      </c>
      <c r="AX752" t="inlineStr">
        <is>
          <t>991003594079702656</t>
        </is>
      </c>
      <c r="AY752" t="inlineStr">
        <is>
          <t>2271829700002656</t>
        </is>
      </c>
      <c r="AZ752" t="inlineStr">
        <is>
          <t>BOOK</t>
        </is>
      </c>
      <c r="BC752" t="inlineStr">
        <is>
          <t>32285003224291</t>
        </is>
      </c>
      <c r="BD752" t="inlineStr">
        <is>
          <t>893900152</t>
        </is>
      </c>
    </row>
    <row r="753">
      <c r="A753" t="inlineStr">
        <is>
          <t>No</t>
        </is>
      </c>
      <c r="B753" t="inlineStr">
        <is>
          <t>PL782.E3 B43</t>
        </is>
      </c>
      <c r="C753" t="inlineStr">
        <is>
          <t>0                      PL 0782000E  3                  B  43</t>
        </is>
      </c>
      <c r="D753" t="inlineStr">
        <is>
          <t>More cricket songs : Japanese haiku / translated by Harry Behn.</t>
        </is>
      </c>
      <c r="F753" t="inlineStr">
        <is>
          <t>No</t>
        </is>
      </c>
      <c r="G753" t="inlineStr">
        <is>
          <t>1</t>
        </is>
      </c>
      <c r="H753" t="inlineStr">
        <is>
          <t>No</t>
        </is>
      </c>
      <c r="I753" t="inlineStr">
        <is>
          <t>No</t>
        </is>
      </c>
      <c r="J753" t="inlineStr">
        <is>
          <t>0</t>
        </is>
      </c>
      <c r="K753" t="inlineStr">
        <is>
          <t>Behn, Harry compiler.</t>
        </is>
      </c>
      <c r="L753" t="inlineStr">
        <is>
          <t>New York : Harcourt, Brace, Jovanovich, 1971.</t>
        </is>
      </c>
      <c r="M753" t="inlineStr">
        <is>
          <t>1971</t>
        </is>
      </c>
      <c r="N753" t="inlineStr">
        <is>
          <t>[1st ed.]</t>
        </is>
      </c>
      <c r="O753" t="inlineStr">
        <is>
          <t>eng</t>
        </is>
      </c>
      <c r="P753" t="inlineStr">
        <is>
          <t>nyu</t>
        </is>
      </c>
      <c r="R753" t="inlineStr">
        <is>
          <t xml:space="preserve">PL </t>
        </is>
      </c>
      <c r="S753" t="n">
        <v>3</v>
      </c>
      <c r="T753" t="n">
        <v>3</v>
      </c>
      <c r="U753" t="inlineStr">
        <is>
          <t>1996-04-04</t>
        </is>
      </c>
      <c r="V753" t="inlineStr">
        <is>
          <t>1996-04-04</t>
        </is>
      </c>
      <c r="W753" t="inlineStr">
        <is>
          <t>1993-05-04</t>
        </is>
      </c>
      <c r="X753" t="inlineStr">
        <is>
          <t>1993-05-04</t>
        </is>
      </c>
      <c r="Y753" t="n">
        <v>580</v>
      </c>
      <c r="Z753" t="n">
        <v>561</v>
      </c>
      <c r="AA753" t="n">
        <v>566</v>
      </c>
      <c r="AB753" t="n">
        <v>7</v>
      </c>
      <c r="AC753" t="n">
        <v>7</v>
      </c>
      <c r="AD753" t="n">
        <v>8</v>
      </c>
      <c r="AE753" t="n">
        <v>8</v>
      </c>
      <c r="AF753" t="n">
        <v>0</v>
      </c>
      <c r="AG753" t="n">
        <v>0</v>
      </c>
      <c r="AH753" t="n">
        <v>2</v>
      </c>
      <c r="AI753" t="n">
        <v>2</v>
      </c>
      <c r="AJ753" t="n">
        <v>2</v>
      </c>
      <c r="AK753" t="n">
        <v>2</v>
      </c>
      <c r="AL753" t="n">
        <v>4</v>
      </c>
      <c r="AM753" t="n">
        <v>4</v>
      </c>
      <c r="AN753" t="n">
        <v>0</v>
      </c>
      <c r="AO753" t="n">
        <v>0</v>
      </c>
      <c r="AP753" t="inlineStr">
        <is>
          <t>No</t>
        </is>
      </c>
      <c r="AQ753" t="inlineStr">
        <is>
          <t>No</t>
        </is>
      </c>
      <c r="AS753">
        <f>HYPERLINK("https://creighton-primo.hosted.exlibrisgroup.com/primo-explore/search?tab=default_tab&amp;search_scope=EVERYTHING&amp;vid=01CRU&amp;lang=en_US&amp;offset=0&amp;query=any,contains,991000715599702656","Catalog Record")</f>
        <v/>
      </c>
      <c r="AT753">
        <f>HYPERLINK("http://www.worldcat.org/oclc/125152","WorldCat Record")</f>
        <v/>
      </c>
      <c r="AU753" t="inlineStr">
        <is>
          <t>2289967121:eng</t>
        </is>
      </c>
      <c r="AV753" t="inlineStr">
        <is>
          <t>125152</t>
        </is>
      </c>
      <c r="AW753" t="inlineStr">
        <is>
          <t>991000715599702656</t>
        </is>
      </c>
      <c r="AX753" t="inlineStr">
        <is>
          <t>991000715599702656</t>
        </is>
      </c>
      <c r="AY753" t="inlineStr">
        <is>
          <t>2260350850002656</t>
        </is>
      </c>
      <c r="AZ753" t="inlineStr">
        <is>
          <t>BOOK</t>
        </is>
      </c>
      <c r="BB753" t="inlineStr">
        <is>
          <t>9780152554408</t>
        </is>
      </c>
      <c r="BC753" t="inlineStr">
        <is>
          <t>32285001671584</t>
        </is>
      </c>
      <c r="BD753" t="inlineStr">
        <is>
          <t>893803020</t>
        </is>
      </c>
    </row>
    <row r="754">
      <c r="A754" t="inlineStr">
        <is>
          <t>No</t>
        </is>
      </c>
      <c r="B754" t="inlineStr">
        <is>
          <t>PL782.E3 M3</t>
        </is>
      </c>
      <c r="C754" t="inlineStr">
        <is>
          <t>0                      PL 0782000E  3                  M  3</t>
        </is>
      </c>
      <c r="D754" t="inlineStr">
        <is>
          <t>The Manyōshū; the Nippon Gakujutsu Shinkōksi translation of One thousand poems, with the texts in Romaji. With a new foreword by Donald Keene.</t>
        </is>
      </c>
      <c r="F754" t="inlineStr">
        <is>
          <t>No</t>
        </is>
      </c>
      <c r="G754" t="inlineStr">
        <is>
          <t>1</t>
        </is>
      </c>
      <c r="H754" t="inlineStr">
        <is>
          <t>No</t>
        </is>
      </c>
      <c r="I754" t="inlineStr">
        <is>
          <t>No</t>
        </is>
      </c>
      <c r="J754" t="inlineStr">
        <is>
          <t>0</t>
        </is>
      </c>
      <c r="K754" t="inlineStr">
        <is>
          <t>Man'yōshū.</t>
        </is>
      </c>
      <c r="L754" t="inlineStr">
        <is>
          <t>New York, Columbia University Press, 1965.</t>
        </is>
      </c>
      <c r="M754" t="inlineStr">
        <is>
          <t>1965</t>
        </is>
      </c>
      <c r="O754" t="inlineStr">
        <is>
          <t>eng</t>
        </is>
      </c>
      <c r="P754" t="inlineStr">
        <is>
          <t>nyu</t>
        </is>
      </c>
      <c r="Q754" t="inlineStr">
        <is>
          <t>Records of civilization: sources &amp; studies, no. 70</t>
        </is>
      </c>
      <c r="R754" t="inlineStr">
        <is>
          <t xml:space="preserve">PL </t>
        </is>
      </c>
      <c r="S754" t="n">
        <v>1</v>
      </c>
      <c r="T754" t="n">
        <v>1</v>
      </c>
      <c r="U754" t="inlineStr">
        <is>
          <t>2010-03-05</t>
        </is>
      </c>
      <c r="V754" t="inlineStr">
        <is>
          <t>2010-03-05</t>
        </is>
      </c>
      <c r="W754" t="inlineStr">
        <is>
          <t>1997-09-16</t>
        </is>
      </c>
      <c r="X754" t="inlineStr">
        <is>
          <t>1997-09-16</t>
        </is>
      </c>
      <c r="Y754" t="n">
        <v>582</v>
      </c>
      <c r="Z754" t="n">
        <v>528</v>
      </c>
      <c r="AA754" t="n">
        <v>528</v>
      </c>
      <c r="AB754" t="n">
        <v>5</v>
      </c>
      <c r="AC754" t="n">
        <v>5</v>
      </c>
      <c r="AD754" t="n">
        <v>26</v>
      </c>
      <c r="AE754" t="n">
        <v>26</v>
      </c>
      <c r="AF754" t="n">
        <v>12</v>
      </c>
      <c r="AG754" t="n">
        <v>12</v>
      </c>
      <c r="AH754" t="n">
        <v>6</v>
      </c>
      <c r="AI754" t="n">
        <v>6</v>
      </c>
      <c r="AJ754" t="n">
        <v>12</v>
      </c>
      <c r="AK754" t="n">
        <v>12</v>
      </c>
      <c r="AL754" t="n">
        <v>4</v>
      </c>
      <c r="AM754" t="n">
        <v>4</v>
      </c>
      <c r="AN754" t="n">
        <v>0</v>
      </c>
      <c r="AO754" t="n">
        <v>0</v>
      </c>
      <c r="AP754" t="inlineStr">
        <is>
          <t>No</t>
        </is>
      </c>
      <c r="AQ754" t="inlineStr">
        <is>
          <t>Yes</t>
        </is>
      </c>
      <c r="AR754">
        <f>HYPERLINK("http://catalog.hathitrust.org/Record/001184761","HathiTrust Record")</f>
        <v/>
      </c>
      <c r="AS754">
        <f>HYPERLINK("https://creighton-primo.hosted.exlibrisgroup.com/primo-explore/search?tab=default_tab&amp;search_scope=EVERYTHING&amp;vid=01CRU&amp;lang=en_US&amp;offset=0&amp;query=any,contains,991002403389702656","Catalog Record")</f>
        <v/>
      </c>
      <c r="AT754">
        <f>HYPERLINK("http://www.worldcat.org/oclc/337956","WorldCat Record")</f>
        <v/>
      </c>
      <c r="AU754" t="inlineStr">
        <is>
          <t>364156825:eng</t>
        </is>
      </c>
      <c r="AV754" t="inlineStr">
        <is>
          <t>337956</t>
        </is>
      </c>
      <c r="AW754" t="inlineStr">
        <is>
          <t>991002403389702656</t>
        </is>
      </c>
      <c r="AX754" t="inlineStr">
        <is>
          <t>991002403389702656</t>
        </is>
      </c>
      <c r="AY754" t="inlineStr">
        <is>
          <t>2256012980002656</t>
        </is>
      </c>
      <c r="AZ754" t="inlineStr">
        <is>
          <t>BOOK</t>
        </is>
      </c>
      <c r="BC754" t="inlineStr">
        <is>
          <t>32285003224317</t>
        </is>
      </c>
      <c r="BD754" t="inlineStr">
        <is>
          <t>893415161</t>
        </is>
      </c>
    </row>
    <row r="755">
      <c r="A755" t="inlineStr">
        <is>
          <t>No</t>
        </is>
      </c>
      <c r="B755" t="inlineStr">
        <is>
          <t>PL782.E3 M49 1970</t>
        </is>
      </c>
      <c r="C755" t="inlineStr">
        <is>
          <t>0                      PL 0782000E  3                  M  49          1970</t>
        </is>
      </c>
      <c r="D755" t="inlineStr">
        <is>
          <t>Masterpieces of Japanese poetry, ancient and modern / translated and annotated by Miyamori Asatarō.</t>
        </is>
      </c>
      <c r="F755" t="inlineStr">
        <is>
          <t>Yes</t>
        </is>
      </c>
      <c r="G755" t="inlineStr">
        <is>
          <t>1</t>
        </is>
      </c>
      <c r="H755" t="inlineStr">
        <is>
          <t>Yes</t>
        </is>
      </c>
      <c r="I755" t="inlineStr">
        <is>
          <t>No</t>
        </is>
      </c>
      <c r="J755" t="inlineStr">
        <is>
          <t>0</t>
        </is>
      </c>
      <c r="K755" t="inlineStr">
        <is>
          <t>Miyamori, Asatarō, 1869-1952, editor, translator.</t>
        </is>
      </c>
      <c r="L755" t="inlineStr">
        <is>
          <t>Westport, Conn. : Greenwood Press, [1970]</t>
        </is>
      </c>
      <c r="M755" t="inlineStr">
        <is>
          <t>1970</t>
        </is>
      </c>
      <c r="O755" t="inlineStr">
        <is>
          <t>eng</t>
        </is>
      </c>
      <c r="P755" t="inlineStr">
        <is>
          <t>ctu</t>
        </is>
      </c>
      <c r="R755" t="inlineStr">
        <is>
          <t xml:space="preserve">PL </t>
        </is>
      </c>
      <c r="S755" t="n">
        <v>3</v>
      </c>
      <c r="T755" t="n">
        <v>5</v>
      </c>
      <c r="U755" t="inlineStr">
        <is>
          <t>2003-11-20</t>
        </is>
      </c>
      <c r="V755" t="inlineStr">
        <is>
          <t>2003-11-20</t>
        </is>
      </c>
      <c r="W755" t="inlineStr">
        <is>
          <t>1992-03-10</t>
        </is>
      </c>
      <c r="X755" t="inlineStr">
        <is>
          <t>1993-05-04</t>
        </is>
      </c>
      <c r="Y755" t="n">
        <v>262</v>
      </c>
      <c r="Z755" t="n">
        <v>235</v>
      </c>
      <c r="AA755" t="n">
        <v>345</v>
      </c>
      <c r="AB755" t="n">
        <v>1</v>
      </c>
      <c r="AC755" t="n">
        <v>1</v>
      </c>
      <c r="AD755" t="n">
        <v>11</v>
      </c>
      <c r="AE755" t="n">
        <v>12</v>
      </c>
      <c r="AF755" t="n">
        <v>3</v>
      </c>
      <c r="AG755" t="n">
        <v>3</v>
      </c>
      <c r="AH755" t="n">
        <v>4</v>
      </c>
      <c r="AI755" t="n">
        <v>4</v>
      </c>
      <c r="AJ755" t="n">
        <v>7</v>
      </c>
      <c r="AK755" t="n">
        <v>8</v>
      </c>
      <c r="AL755" t="n">
        <v>0</v>
      </c>
      <c r="AM755" t="n">
        <v>0</v>
      </c>
      <c r="AN755" t="n">
        <v>0</v>
      </c>
      <c r="AO755" t="n">
        <v>0</v>
      </c>
      <c r="AP755" t="inlineStr">
        <is>
          <t>No</t>
        </is>
      </c>
      <c r="AQ755" t="inlineStr">
        <is>
          <t>Yes</t>
        </is>
      </c>
      <c r="AR755">
        <f>HYPERLINK("http://catalog.hathitrust.org/Record/008324707","HathiTrust Record")</f>
        <v/>
      </c>
      <c r="AS755">
        <f>HYPERLINK("https://creighton-primo.hosted.exlibrisgroup.com/primo-explore/search?tab=default_tab&amp;search_scope=EVERYTHING&amp;vid=01CRU&amp;lang=en_US&amp;offset=0&amp;query=any,contains,991000475819702656","Catalog Record")</f>
        <v/>
      </c>
      <c r="AT755">
        <f>HYPERLINK("http://www.worldcat.org/oclc/79449","WorldCat Record")</f>
        <v/>
      </c>
      <c r="AU755" t="inlineStr">
        <is>
          <t>1257910:eng</t>
        </is>
      </c>
      <c r="AV755" t="inlineStr">
        <is>
          <t>79449</t>
        </is>
      </c>
      <c r="AW755" t="inlineStr">
        <is>
          <t>991000475819702656</t>
        </is>
      </c>
      <c r="AX755" t="inlineStr">
        <is>
          <t>991000475819702656</t>
        </is>
      </c>
      <c r="AY755" t="inlineStr">
        <is>
          <t>2258019520002656</t>
        </is>
      </c>
      <c r="AZ755" t="inlineStr">
        <is>
          <t>BOOK</t>
        </is>
      </c>
      <c r="BB755" t="inlineStr">
        <is>
          <t>9780837129440</t>
        </is>
      </c>
      <c r="BC755" t="inlineStr">
        <is>
          <t>32285000994086</t>
        </is>
      </c>
      <c r="BD755" t="inlineStr">
        <is>
          <t>893425747</t>
        </is>
      </c>
    </row>
    <row r="756">
      <c r="A756" t="inlineStr">
        <is>
          <t>No</t>
        </is>
      </c>
      <c r="B756" t="inlineStr">
        <is>
          <t>PL782.E3 M49 1970 V.2</t>
        </is>
      </c>
      <c r="C756" t="inlineStr">
        <is>
          <t>0                      PL 0782000E  3                  M  49          1970                  V.2</t>
        </is>
      </c>
      <c r="D756" t="inlineStr">
        <is>
          <t>Masterpieces of Japanese poetry, ancient and modern / translated and annotated by Miyamori Asatarō.</t>
        </is>
      </c>
      <c r="E756" t="inlineStr">
        <is>
          <t>V.2*</t>
        </is>
      </c>
      <c r="F756" t="inlineStr">
        <is>
          <t>Yes</t>
        </is>
      </c>
      <c r="G756" t="inlineStr">
        <is>
          <t>1</t>
        </is>
      </c>
      <c r="H756" t="inlineStr">
        <is>
          <t>No</t>
        </is>
      </c>
      <c r="I756" t="inlineStr">
        <is>
          <t>No</t>
        </is>
      </c>
      <c r="J756" t="inlineStr">
        <is>
          <t>0</t>
        </is>
      </c>
      <c r="K756" t="inlineStr">
        <is>
          <t>Miyamori, Asatarō, 1869-1952, editor, translator.</t>
        </is>
      </c>
      <c r="L756" t="inlineStr">
        <is>
          <t>Westport, Conn. : Greenwood Press, [1970]</t>
        </is>
      </c>
      <c r="M756" t="inlineStr">
        <is>
          <t>1970</t>
        </is>
      </c>
      <c r="O756" t="inlineStr">
        <is>
          <t>eng</t>
        </is>
      </c>
      <c r="P756" t="inlineStr">
        <is>
          <t>ctu</t>
        </is>
      </c>
      <c r="R756" t="inlineStr">
        <is>
          <t xml:space="preserve">PL </t>
        </is>
      </c>
      <c r="S756" t="n">
        <v>2</v>
      </c>
      <c r="T756" t="n">
        <v>5</v>
      </c>
      <c r="U756" t="inlineStr">
        <is>
          <t>1993-11-17</t>
        </is>
      </c>
      <c r="V756" t="inlineStr">
        <is>
          <t>2003-11-20</t>
        </is>
      </c>
      <c r="W756" t="inlineStr">
        <is>
          <t>1993-05-04</t>
        </is>
      </c>
      <c r="X756" t="inlineStr">
        <is>
          <t>1993-05-04</t>
        </is>
      </c>
      <c r="Y756" t="n">
        <v>262</v>
      </c>
      <c r="Z756" t="n">
        <v>235</v>
      </c>
      <c r="AA756" t="n">
        <v>345</v>
      </c>
      <c r="AB756" t="n">
        <v>1</v>
      </c>
      <c r="AC756" t="n">
        <v>1</v>
      </c>
      <c r="AD756" t="n">
        <v>11</v>
      </c>
      <c r="AE756" t="n">
        <v>12</v>
      </c>
      <c r="AF756" t="n">
        <v>3</v>
      </c>
      <c r="AG756" t="n">
        <v>3</v>
      </c>
      <c r="AH756" t="n">
        <v>4</v>
      </c>
      <c r="AI756" t="n">
        <v>4</v>
      </c>
      <c r="AJ756" t="n">
        <v>7</v>
      </c>
      <c r="AK756" t="n">
        <v>8</v>
      </c>
      <c r="AL756" t="n">
        <v>0</v>
      </c>
      <c r="AM756" t="n">
        <v>0</v>
      </c>
      <c r="AN756" t="n">
        <v>0</v>
      </c>
      <c r="AO756" t="n">
        <v>0</v>
      </c>
      <c r="AP756" t="inlineStr">
        <is>
          <t>No</t>
        </is>
      </c>
      <c r="AQ756" t="inlineStr">
        <is>
          <t>Yes</t>
        </is>
      </c>
      <c r="AR756">
        <f>HYPERLINK("http://catalog.hathitrust.org/Record/008324707","HathiTrust Record")</f>
        <v/>
      </c>
      <c r="AS756">
        <f>HYPERLINK("https://creighton-primo.hosted.exlibrisgroup.com/primo-explore/search?tab=default_tab&amp;search_scope=EVERYTHING&amp;vid=01CRU&amp;lang=en_US&amp;offset=0&amp;query=any,contains,991000475819702656","Catalog Record")</f>
        <v/>
      </c>
      <c r="AT756">
        <f>HYPERLINK("http://www.worldcat.org/oclc/79449","WorldCat Record")</f>
        <v/>
      </c>
      <c r="AU756" t="inlineStr">
        <is>
          <t>1257910:eng</t>
        </is>
      </c>
      <c r="AV756" t="inlineStr">
        <is>
          <t>79449</t>
        </is>
      </c>
      <c r="AW756" t="inlineStr">
        <is>
          <t>991000475819702656</t>
        </is>
      </c>
      <c r="AX756" t="inlineStr">
        <is>
          <t>991000475819702656</t>
        </is>
      </c>
      <c r="AY756" t="inlineStr">
        <is>
          <t>2258019520002656</t>
        </is>
      </c>
      <c r="AZ756" t="inlineStr">
        <is>
          <t>BOOK</t>
        </is>
      </c>
      <c r="BB756" t="inlineStr">
        <is>
          <t>9780837129440</t>
        </is>
      </c>
      <c r="BC756" t="inlineStr">
        <is>
          <t>32285001671618</t>
        </is>
      </c>
      <c r="BD756" t="inlineStr">
        <is>
          <t>893425746</t>
        </is>
      </c>
    </row>
    <row r="757">
      <c r="A757" t="inlineStr">
        <is>
          <t>No</t>
        </is>
      </c>
      <c r="B757" t="inlineStr">
        <is>
          <t>PL782.E3 T7 1991</t>
        </is>
      </c>
      <c r="C757" t="inlineStr">
        <is>
          <t>0                      PL 0782000E  3                  T  7           1991</t>
        </is>
      </c>
      <c r="D757" t="inlineStr">
        <is>
          <t>Traditional Japanese poetry : an anthology / translated, with an introduction, by Steven D. Carter.</t>
        </is>
      </c>
      <c r="F757" t="inlineStr">
        <is>
          <t>No</t>
        </is>
      </c>
      <c r="G757" t="inlineStr">
        <is>
          <t>1</t>
        </is>
      </c>
      <c r="H757" t="inlineStr">
        <is>
          <t>No</t>
        </is>
      </c>
      <c r="I757" t="inlineStr">
        <is>
          <t>No</t>
        </is>
      </c>
      <c r="J757" t="inlineStr">
        <is>
          <t>0</t>
        </is>
      </c>
      <c r="L757" t="inlineStr">
        <is>
          <t>Stanford, Calif. : Stanford University Press, 1991.</t>
        </is>
      </c>
      <c r="M757" t="inlineStr">
        <is>
          <t>1991</t>
        </is>
      </c>
      <c r="O757" t="inlineStr">
        <is>
          <t>eng</t>
        </is>
      </c>
      <c r="P757" t="inlineStr">
        <is>
          <t>cau</t>
        </is>
      </c>
      <c r="R757" t="inlineStr">
        <is>
          <t xml:space="preserve">PL </t>
        </is>
      </c>
      <c r="S757" t="n">
        <v>9</v>
      </c>
      <c r="T757" t="n">
        <v>9</v>
      </c>
      <c r="U757" t="inlineStr">
        <is>
          <t>1999-04-20</t>
        </is>
      </c>
      <c r="V757" t="inlineStr">
        <is>
          <t>1999-04-20</t>
        </is>
      </c>
      <c r="W757" t="inlineStr">
        <is>
          <t>1997-03-18</t>
        </is>
      </c>
      <c r="X757" t="inlineStr">
        <is>
          <t>1997-03-18</t>
        </is>
      </c>
      <c r="Y757" t="n">
        <v>469</v>
      </c>
      <c r="Z757" t="n">
        <v>375</v>
      </c>
      <c r="AA757" t="n">
        <v>383</v>
      </c>
      <c r="AB757" t="n">
        <v>5</v>
      </c>
      <c r="AC757" t="n">
        <v>5</v>
      </c>
      <c r="AD757" t="n">
        <v>19</v>
      </c>
      <c r="AE757" t="n">
        <v>19</v>
      </c>
      <c r="AF757" t="n">
        <v>6</v>
      </c>
      <c r="AG757" t="n">
        <v>6</v>
      </c>
      <c r="AH757" t="n">
        <v>5</v>
      </c>
      <c r="AI757" t="n">
        <v>5</v>
      </c>
      <c r="AJ757" t="n">
        <v>10</v>
      </c>
      <c r="AK757" t="n">
        <v>10</v>
      </c>
      <c r="AL757" t="n">
        <v>3</v>
      </c>
      <c r="AM757" t="n">
        <v>3</v>
      </c>
      <c r="AN757" t="n">
        <v>0</v>
      </c>
      <c r="AO757" t="n">
        <v>0</v>
      </c>
      <c r="AP757" t="inlineStr">
        <is>
          <t>No</t>
        </is>
      </c>
      <c r="AQ757" t="inlineStr">
        <is>
          <t>No</t>
        </is>
      </c>
      <c r="AS757">
        <f>HYPERLINK("https://creighton-primo.hosted.exlibrisgroup.com/primo-explore/search?tab=default_tab&amp;search_scope=EVERYTHING&amp;vid=01CRU&amp;lang=en_US&amp;offset=0&amp;query=any,contains,991001822859702656","Catalog Record")</f>
        <v/>
      </c>
      <c r="AT757">
        <f>HYPERLINK("http://www.worldcat.org/oclc/22906803","WorldCat Record")</f>
        <v/>
      </c>
      <c r="AU757" t="inlineStr">
        <is>
          <t>836661073:eng</t>
        </is>
      </c>
      <c r="AV757" t="inlineStr">
        <is>
          <t>22906803</t>
        </is>
      </c>
      <c r="AW757" t="inlineStr">
        <is>
          <t>991001822859702656</t>
        </is>
      </c>
      <c r="AX757" t="inlineStr">
        <is>
          <t>991001822859702656</t>
        </is>
      </c>
      <c r="AY757" t="inlineStr">
        <is>
          <t>2262193070002656</t>
        </is>
      </c>
      <c r="AZ757" t="inlineStr">
        <is>
          <t>BOOK</t>
        </is>
      </c>
      <c r="BB757" t="inlineStr">
        <is>
          <t>9780804715621</t>
        </is>
      </c>
      <c r="BC757" t="inlineStr">
        <is>
          <t>32285002443850</t>
        </is>
      </c>
      <c r="BD757" t="inlineStr">
        <is>
          <t>893408393</t>
        </is>
      </c>
    </row>
    <row r="758">
      <c r="A758" t="inlineStr">
        <is>
          <t>No</t>
        </is>
      </c>
      <c r="B758" t="inlineStr">
        <is>
          <t>PL782.E5 D8 1978</t>
        </is>
      </c>
      <c r="C758" t="inlineStr">
        <is>
          <t>0                      PL 0782000E  5                  D  8           1978</t>
        </is>
      </c>
      <c r="D758" t="inlineStr">
        <is>
          <t>Plays of old Japan / translated by Leo Duran.</t>
        </is>
      </c>
      <c r="F758" t="inlineStr">
        <is>
          <t>No</t>
        </is>
      </c>
      <c r="G758" t="inlineStr">
        <is>
          <t>1</t>
        </is>
      </c>
      <c r="H758" t="inlineStr">
        <is>
          <t>No</t>
        </is>
      </c>
      <c r="I758" t="inlineStr">
        <is>
          <t>No</t>
        </is>
      </c>
      <c r="J758" t="inlineStr">
        <is>
          <t>0</t>
        </is>
      </c>
      <c r="K758" t="inlineStr">
        <is>
          <t>Duran, Leo, 1883-, translator.</t>
        </is>
      </c>
      <c r="L758" t="inlineStr">
        <is>
          <t>Great Neck, N.Y. : Corea Collection Books, 1978.</t>
        </is>
      </c>
      <c r="M758" t="inlineStr">
        <is>
          <t>1978</t>
        </is>
      </c>
      <c r="O758" t="inlineStr">
        <is>
          <t>eng</t>
        </is>
      </c>
      <c r="P758" t="inlineStr">
        <is>
          <t>nyu</t>
        </is>
      </c>
      <c r="Q758" t="inlineStr">
        <is>
          <t>One-act plays in reprint</t>
        </is>
      </c>
      <c r="R758" t="inlineStr">
        <is>
          <t xml:space="preserve">PL </t>
        </is>
      </c>
      <c r="S758" t="n">
        <v>3</v>
      </c>
      <c r="T758" t="n">
        <v>3</v>
      </c>
      <c r="U758" t="inlineStr">
        <is>
          <t>2003-10-27</t>
        </is>
      </c>
      <c r="V758" t="inlineStr">
        <is>
          <t>2003-10-27</t>
        </is>
      </c>
      <c r="W758" t="inlineStr">
        <is>
          <t>1993-05-04</t>
        </is>
      </c>
      <c r="X758" t="inlineStr">
        <is>
          <t>1993-05-04</t>
        </is>
      </c>
      <c r="Y758" t="n">
        <v>61</v>
      </c>
      <c r="Z758" t="n">
        <v>54</v>
      </c>
      <c r="AA758" t="n">
        <v>325</v>
      </c>
      <c r="AB758" t="n">
        <v>1</v>
      </c>
      <c r="AC758" t="n">
        <v>2</v>
      </c>
      <c r="AD758" t="n">
        <v>1</v>
      </c>
      <c r="AE758" t="n">
        <v>10</v>
      </c>
      <c r="AF758" t="n">
        <v>0</v>
      </c>
      <c r="AG758" t="n">
        <v>2</v>
      </c>
      <c r="AH758" t="n">
        <v>0</v>
      </c>
      <c r="AI758" t="n">
        <v>3</v>
      </c>
      <c r="AJ758" t="n">
        <v>1</v>
      </c>
      <c r="AK758" t="n">
        <v>5</v>
      </c>
      <c r="AL758" t="n">
        <v>0</v>
      </c>
      <c r="AM758" t="n">
        <v>1</v>
      </c>
      <c r="AN758" t="n">
        <v>0</v>
      </c>
      <c r="AO758" t="n">
        <v>0</v>
      </c>
      <c r="AP758" t="inlineStr">
        <is>
          <t>No</t>
        </is>
      </c>
      <c r="AQ758" t="inlineStr">
        <is>
          <t>Yes</t>
        </is>
      </c>
      <c r="AR758">
        <f>HYPERLINK("http://catalog.hathitrust.org/Record/100579442","HathiTrust Record")</f>
        <v/>
      </c>
      <c r="AS758">
        <f>HYPERLINK("https://creighton-primo.hosted.exlibrisgroup.com/primo-explore/search?tab=default_tab&amp;search_scope=EVERYTHING&amp;vid=01CRU&amp;lang=en_US&amp;offset=0&amp;query=any,contains,991004671769702656","Catalog Record")</f>
        <v/>
      </c>
      <c r="AT758">
        <f>HYPERLINK("http://www.worldcat.org/oclc/4515979","WorldCat Record")</f>
        <v/>
      </c>
      <c r="AU758" t="inlineStr">
        <is>
          <t>1610013:eng</t>
        </is>
      </c>
      <c r="AV758" t="inlineStr">
        <is>
          <t>4515979</t>
        </is>
      </c>
      <c r="AW758" t="inlineStr">
        <is>
          <t>991004671769702656</t>
        </is>
      </c>
      <c r="AX758" t="inlineStr">
        <is>
          <t>991004671769702656</t>
        </is>
      </c>
      <c r="AY758" t="inlineStr">
        <is>
          <t>2262920440002656</t>
        </is>
      </c>
      <c r="AZ758" t="inlineStr">
        <is>
          <t>BOOK</t>
        </is>
      </c>
      <c r="BB758" t="inlineStr">
        <is>
          <t>9780848620370</t>
        </is>
      </c>
      <c r="BC758" t="inlineStr">
        <is>
          <t>32285001671626</t>
        </is>
      </c>
      <c r="BD758" t="inlineStr">
        <is>
          <t>893325625</t>
        </is>
      </c>
    </row>
    <row r="759">
      <c r="A759" t="inlineStr">
        <is>
          <t>No</t>
        </is>
      </c>
      <c r="B759" t="inlineStr">
        <is>
          <t>PL782.E5 E7 1976</t>
        </is>
      </c>
      <c r="C759" t="inlineStr">
        <is>
          <t>0                      PL 0782000E  5                  E  7           1976</t>
        </is>
      </c>
      <c r="D759" t="inlineStr">
        <is>
          <t>Three Japanese plays from the traditional theatre / edited with introductions by Earle Ernst.</t>
        </is>
      </c>
      <c r="F759" t="inlineStr">
        <is>
          <t>No</t>
        </is>
      </c>
      <c r="G759" t="inlineStr">
        <is>
          <t>2</t>
        </is>
      </c>
      <c r="H759" t="inlineStr">
        <is>
          <t>No</t>
        </is>
      </c>
      <c r="I759" t="inlineStr">
        <is>
          <t>No</t>
        </is>
      </c>
      <c r="J759" t="inlineStr">
        <is>
          <t>0</t>
        </is>
      </c>
      <c r="K759" t="inlineStr">
        <is>
          <t>Ernst, Earle, editor.</t>
        </is>
      </c>
      <c r="L759" t="inlineStr">
        <is>
          <t>Westport, Conn. : Greenwood Press, 1976, c1959.</t>
        </is>
      </c>
      <c r="M759" t="inlineStr">
        <is>
          <t>1976</t>
        </is>
      </c>
      <c r="O759" t="inlineStr">
        <is>
          <t>eng</t>
        </is>
      </c>
      <c r="P759" t="inlineStr">
        <is>
          <t>ctu</t>
        </is>
      </c>
      <c r="R759" t="inlineStr">
        <is>
          <t xml:space="preserve">PL </t>
        </is>
      </c>
      <c r="S759" t="n">
        <v>17</v>
      </c>
      <c r="T759" t="n">
        <v>17</v>
      </c>
      <c r="U759" t="inlineStr">
        <is>
          <t>1997-04-22</t>
        </is>
      </c>
      <c r="V759" t="inlineStr">
        <is>
          <t>1997-04-22</t>
        </is>
      </c>
      <c r="W759" t="inlineStr">
        <is>
          <t>1993-04-03</t>
        </is>
      </c>
      <c r="X759" t="inlineStr">
        <is>
          <t>1993-04-03</t>
        </is>
      </c>
      <c r="Y759" t="n">
        <v>155</v>
      </c>
      <c r="Z759" t="n">
        <v>129</v>
      </c>
      <c r="AA759" t="n">
        <v>658</v>
      </c>
      <c r="AB759" t="n">
        <v>1</v>
      </c>
      <c r="AC759" t="n">
        <v>8</v>
      </c>
      <c r="AD759" t="n">
        <v>6</v>
      </c>
      <c r="AE759" t="n">
        <v>32</v>
      </c>
      <c r="AF759" t="n">
        <v>4</v>
      </c>
      <c r="AG759" t="n">
        <v>12</v>
      </c>
      <c r="AH759" t="n">
        <v>2</v>
      </c>
      <c r="AI759" t="n">
        <v>6</v>
      </c>
      <c r="AJ759" t="n">
        <v>3</v>
      </c>
      <c r="AK759" t="n">
        <v>19</v>
      </c>
      <c r="AL759" t="n">
        <v>0</v>
      </c>
      <c r="AM759" t="n">
        <v>7</v>
      </c>
      <c r="AN759" t="n">
        <v>0</v>
      </c>
      <c r="AO759" t="n">
        <v>0</v>
      </c>
      <c r="AP759" t="inlineStr">
        <is>
          <t>No</t>
        </is>
      </c>
      <c r="AQ759" t="inlineStr">
        <is>
          <t>Yes</t>
        </is>
      </c>
      <c r="AR759">
        <f>HYPERLINK("http://catalog.hathitrust.org/Record/102067807","HathiTrust Record")</f>
        <v/>
      </c>
      <c r="AS759">
        <f>HYPERLINK("https://creighton-primo.hosted.exlibrisgroup.com/primo-explore/search?tab=default_tab&amp;search_scope=EVERYTHING&amp;vid=01CRU&amp;lang=en_US&amp;offset=0&amp;query=any,contains,991003962129702656","Catalog Record")</f>
        <v/>
      </c>
      <c r="AT759">
        <f>HYPERLINK("http://www.worldcat.org/oclc/1975932","WorldCat Record")</f>
        <v/>
      </c>
      <c r="AU759" t="inlineStr">
        <is>
          <t>9011120:eng</t>
        </is>
      </c>
      <c r="AV759" t="inlineStr">
        <is>
          <t>1975932</t>
        </is>
      </c>
      <c r="AW759" t="inlineStr">
        <is>
          <t>991003962129702656</t>
        </is>
      </c>
      <c r="AX759" t="inlineStr">
        <is>
          <t>991003962129702656</t>
        </is>
      </c>
      <c r="AY759" t="inlineStr">
        <is>
          <t>2266755500002656</t>
        </is>
      </c>
      <c r="AZ759" t="inlineStr">
        <is>
          <t>BOOK</t>
        </is>
      </c>
      <c r="BB759" t="inlineStr">
        <is>
          <t>9780837185323</t>
        </is>
      </c>
      <c r="BC759" t="inlineStr">
        <is>
          <t>32285001599892</t>
        </is>
      </c>
      <c r="BD759" t="inlineStr">
        <is>
          <t>893869125</t>
        </is>
      </c>
    </row>
    <row r="760">
      <c r="A760" t="inlineStr">
        <is>
          <t>No</t>
        </is>
      </c>
      <c r="B760" t="inlineStr">
        <is>
          <t>PL782.E5 J37 1988</t>
        </is>
      </c>
      <c r="C760" t="inlineStr">
        <is>
          <t>0                      PL 0782000E  5                  J  37          1988</t>
        </is>
      </c>
      <c r="D760" t="inlineStr">
        <is>
          <t>Japanese drama and culture in the 1960's : the return of the gods / [edited, translated, and with commentary by] David G. Goodman.</t>
        </is>
      </c>
      <c r="F760" t="inlineStr">
        <is>
          <t>No</t>
        </is>
      </c>
      <c r="G760" t="inlineStr">
        <is>
          <t>1</t>
        </is>
      </c>
      <c r="H760" t="inlineStr">
        <is>
          <t>No</t>
        </is>
      </c>
      <c r="I760" t="inlineStr">
        <is>
          <t>No</t>
        </is>
      </c>
      <c r="J760" t="inlineStr">
        <is>
          <t>0</t>
        </is>
      </c>
      <c r="L760" t="inlineStr">
        <is>
          <t>Armonk, N.Y. : M.E. Sharpe, 1988.</t>
        </is>
      </c>
      <c r="M760" t="inlineStr">
        <is>
          <t>1988</t>
        </is>
      </c>
      <c r="O760" t="inlineStr">
        <is>
          <t>eng</t>
        </is>
      </c>
      <c r="P760" t="inlineStr">
        <is>
          <t>nyu</t>
        </is>
      </c>
      <c r="R760" t="inlineStr">
        <is>
          <t xml:space="preserve">PL </t>
        </is>
      </c>
      <c r="S760" t="n">
        <v>2</v>
      </c>
      <c r="T760" t="n">
        <v>2</v>
      </c>
      <c r="U760" t="inlineStr">
        <is>
          <t>2003-10-27</t>
        </is>
      </c>
      <c r="V760" t="inlineStr">
        <is>
          <t>2003-10-27</t>
        </is>
      </c>
      <c r="W760" t="inlineStr">
        <is>
          <t>1999-10-11</t>
        </is>
      </c>
      <c r="X760" t="inlineStr">
        <is>
          <t>1999-10-11</t>
        </is>
      </c>
      <c r="Y760" t="n">
        <v>387</v>
      </c>
      <c r="Z760" t="n">
        <v>296</v>
      </c>
      <c r="AA760" t="n">
        <v>315</v>
      </c>
      <c r="AB760" t="n">
        <v>3</v>
      </c>
      <c r="AC760" t="n">
        <v>3</v>
      </c>
      <c r="AD760" t="n">
        <v>14</v>
      </c>
      <c r="AE760" t="n">
        <v>14</v>
      </c>
      <c r="AF760" t="n">
        <v>5</v>
      </c>
      <c r="AG760" t="n">
        <v>5</v>
      </c>
      <c r="AH760" t="n">
        <v>3</v>
      </c>
      <c r="AI760" t="n">
        <v>3</v>
      </c>
      <c r="AJ760" t="n">
        <v>7</v>
      </c>
      <c r="AK760" t="n">
        <v>7</v>
      </c>
      <c r="AL760" t="n">
        <v>2</v>
      </c>
      <c r="AM760" t="n">
        <v>2</v>
      </c>
      <c r="AN760" t="n">
        <v>0</v>
      </c>
      <c r="AO760" t="n">
        <v>0</v>
      </c>
      <c r="AP760" t="inlineStr">
        <is>
          <t>No</t>
        </is>
      </c>
      <c r="AQ760" t="inlineStr">
        <is>
          <t>Yes</t>
        </is>
      </c>
      <c r="AR760">
        <f>HYPERLINK("http://catalog.hathitrust.org/Record/001104702","HathiTrust Record")</f>
        <v/>
      </c>
      <c r="AS760">
        <f>HYPERLINK("https://creighton-primo.hosted.exlibrisgroup.com/primo-explore/search?tab=default_tab&amp;search_scope=EVERYTHING&amp;vid=01CRU&amp;lang=en_US&amp;offset=0&amp;query=any,contains,991001441379702656","Catalog Record")</f>
        <v/>
      </c>
      <c r="AT760">
        <f>HYPERLINK("http://www.worldcat.org/oclc/19256535","WorldCat Record")</f>
        <v/>
      </c>
      <c r="AU760" t="inlineStr">
        <is>
          <t>836841676:eng</t>
        </is>
      </c>
      <c r="AV760" t="inlineStr">
        <is>
          <t>19256535</t>
        </is>
      </c>
      <c r="AW760" t="inlineStr">
        <is>
          <t>991001441379702656</t>
        </is>
      </c>
      <c r="AX760" t="inlineStr">
        <is>
          <t>991001441379702656</t>
        </is>
      </c>
      <c r="AY760" t="inlineStr">
        <is>
          <t>2265974140002656</t>
        </is>
      </c>
      <c r="AZ760" t="inlineStr">
        <is>
          <t>BOOK</t>
        </is>
      </c>
      <c r="BB760" t="inlineStr">
        <is>
          <t>9780873324779</t>
        </is>
      </c>
      <c r="BC760" t="inlineStr">
        <is>
          <t>32285003594321</t>
        </is>
      </c>
      <c r="BD760" t="inlineStr">
        <is>
          <t>893715450</t>
        </is>
      </c>
    </row>
    <row r="761">
      <c r="A761" t="inlineStr">
        <is>
          <t>No</t>
        </is>
      </c>
      <c r="B761" t="inlineStr">
        <is>
          <t>PL782.E5 M6</t>
        </is>
      </c>
      <c r="C761" t="inlineStr">
        <is>
          <t>0                      PL 0782000E  5                  M  6</t>
        </is>
      </c>
      <c r="D761" t="inlineStr">
        <is>
          <t>Modern Japanese drama : an anthology / edited and translated by Ted T. Takaya.</t>
        </is>
      </c>
      <c r="F761" t="inlineStr">
        <is>
          <t>No</t>
        </is>
      </c>
      <c r="G761" t="inlineStr">
        <is>
          <t>1</t>
        </is>
      </c>
      <c r="H761" t="inlineStr">
        <is>
          <t>No</t>
        </is>
      </c>
      <c r="I761" t="inlineStr">
        <is>
          <t>No</t>
        </is>
      </c>
      <c r="J761" t="inlineStr">
        <is>
          <t>0</t>
        </is>
      </c>
      <c r="L761" t="inlineStr">
        <is>
          <t>New York : Columbia University Press, 1979.</t>
        </is>
      </c>
      <c r="M761" t="inlineStr">
        <is>
          <t>1979</t>
        </is>
      </c>
      <c r="O761" t="inlineStr">
        <is>
          <t>eng</t>
        </is>
      </c>
      <c r="P761" t="inlineStr">
        <is>
          <t>nyu</t>
        </is>
      </c>
      <c r="Q761" t="inlineStr">
        <is>
          <t>Modern Asian literature series</t>
        </is>
      </c>
      <c r="R761" t="inlineStr">
        <is>
          <t xml:space="preserve">PL </t>
        </is>
      </c>
      <c r="S761" t="n">
        <v>3</v>
      </c>
      <c r="T761" t="n">
        <v>3</v>
      </c>
      <c r="U761" t="inlineStr">
        <is>
          <t>2003-10-27</t>
        </is>
      </c>
      <c r="V761" t="inlineStr">
        <is>
          <t>2003-10-27</t>
        </is>
      </c>
      <c r="W761" t="inlineStr">
        <is>
          <t>1993-05-04</t>
        </is>
      </c>
      <c r="X761" t="inlineStr">
        <is>
          <t>1993-05-04</t>
        </is>
      </c>
      <c r="Y761" t="n">
        <v>867</v>
      </c>
      <c r="Z761" t="n">
        <v>686</v>
      </c>
      <c r="AA761" t="n">
        <v>691</v>
      </c>
      <c r="AB761" t="n">
        <v>4</v>
      </c>
      <c r="AC761" t="n">
        <v>4</v>
      </c>
      <c r="AD761" t="n">
        <v>26</v>
      </c>
      <c r="AE761" t="n">
        <v>26</v>
      </c>
      <c r="AF761" t="n">
        <v>11</v>
      </c>
      <c r="AG761" t="n">
        <v>11</v>
      </c>
      <c r="AH761" t="n">
        <v>5</v>
      </c>
      <c r="AI761" t="n">
        <v>5</v>
      </c>
      <c r="AJ761" t="n">
        <v>13</v>
      </c>
      <c r="AK761" t="n">
        <v>13</v>
      </c>
      <c r="AL761" t="n">
        <v>3</v>
      </c>
      <c r="AM761" t="n">
        <v>3</v>
      </c>
      <c r="AN761" t="n">
        <v>0</v>
      </c>
      <c r="AO761" t="n">
        <v>0</v>
      </c>
      <c r="AP761" t="inlineStr">
        <is>
          <t>No</t>
        </is>
      </c>
      <c r="AQ761" t="inlineStr">
        <is>
          <t>No</t>
        </is>
      </c>
      <c r="AS761">
        <f>HYPERLINK("https://creighton-primo.hosted.exlibrisgroup.com/primo-explore/search?tab=default_tab&amp;search_scope=EVERYTHING&amp;vid=01CRU&amp;lang=en_US&amp;offset=0&amp;query=any,contains,991004722159702656","Catalog Record")</f>
        <v/>
      </c>
      <c r="AT761">
        <f>HYPERLINK("http://www.worldcat.org/oclc/4804723","WorldCat Record")</f>
        <v/>
      </c>
      <c r="AU761" t="inlineStr">
        <is>
          <t>906989797:eng</t>
        </is>
      </c>
      <c r="AV761" t="inlineStr">
        <is>
          <t>4804723</t>
        </is>
      </c>
      <c r="AW761" t="inlineStr">
        <is>
          <t>991004722159702656</t>
        </is>
      </c>
      <c r="AX761" t="inlineStr">
        <is>
          <t>991004722159702656</t>
        </is>
      </c>
      <c r="AY761" t="inlineStr">
        <is>
          <t>2270339780002656</t>
        </is>
      </c>
      <c r="AZ761" t="inlineStr">
        <is>
          <t>BOOK</t>
        </is>
      </c>
      <c r="BB761" t="inlineStr">
        <is>
          <t>9780231046848</t>
        </is>
      </c>
      <c r="BC761" t="inlineStr">
        <is>
          <t>32285001671642</t>
        </is>
      </c>
      <c r="BD761" t="inlineStr">
        <is>
          <t>893446361</t>
        </is>
      </c>
    </row>
    <row r="762">
      <c r="A762" t="inlineStr">
        <is>
          <t>No</t>
        </is>
      </c>
      <c r="B762" t="inlineStr">
        <is>
          <t>PL782.E5 R47 1995</t>
        </is>
      </c>
      <c r="C762" t="inlineStr">
        <is>
          <t>0                      PL 0782000E  5                  R  47          1995</t>
        </is>
      </c>
      <c r="D762" t="inlineStr">
        <is>
          <t>Restless spirits from Japanese noh plays of the fourth group : parallel translations with running commentary / Chifumi Shimazaki.</t>
        </is>
      </c>
      <c r="F762" t="inlineStr">
        <is>
          <t>No</t>
        </is>
      </c>
      <c r="G762" t="inlineStr">
        <is>
          <t>1</t>
        </is>
      </c>
      <c r="H762" t="inlineStr">
        <is>
          <t>No</t>
        </is>
      </c>
      <c r="I762" t="inlineStr">
        <is>
          <t>No</t>
        </is>
      </c>
      <c r="J762" t="inlineStr">
        <is>
          <t>0</t>
        </is>
      </c>
      <c r="L762" t="inlineStr">
        <is>
          <t>Ithaca, N.Y. : East Asia Program, Cornell University, c1995.</t>
        </is>
      </c>
      <c r="M762" t="inlineStr">
        <is>
          <t>1995</t>
        </is>
      </c>
      <c r="O762" t="inlineStr">
        <is>
          <t>eng</t>
        </is>
      </c>
      <c r="P762" t="inlineStr">
        <is>
          <t>nyu</t>
        </is>
      </c>
      <c r="Q762" t="inlineStr">
        <is>
          <t>Cornell East Asia series ; 76</t>
        </is>
      </c>
      <c r="R762" t="inlineStr">
        <is>
          <t xml:space="preserve">PL </t>
        </is>
      </c>
      <c r="S762" t="n">
        <v>2</v>
      </c>
      <c r="T762" t="n">
        <v>2</v>
      </c>
      <c r="U762" t="inlineStr">
        <is>
          <t>2009-03-06</t>
        </is>
      </c>
      <c r="V762" t="inlineStr">
        <is>
          <t>2009-03-06</t>
        </is>
      </c>
      <c r="W762" t="inlineStr">
        <is>
          <t>1999-10-11</t>
        </is>
      </c>
      <c r="X762" t="inlineStr">
        <is>
          <t>1999-10-11</t>
        </is>
      </c>
      <c r="Y762" t="n">
        <v>138</v>
      </c>
      <c r="Z762" t="n">
        <v>107</v>
      </c>
      <c r="AA762" t="n">
        <v>109</v>
      </c>
      <c r="AB762" t="n">
        <v>1</v>
      </c>
      <c r="AC762" t="n">
        <v>1</v>
      </c>
      <c r="AD762" t="n">
        <v>5</v>
      </c>
      <c r="AE762" t="n">
        <v>5</v>
      </c>
      <c r="AF762" t="n">
        <v>1</v>
      </c>
      <c r="AG762" t="n">
        <v>1</v>
      </c>
      <c r="AH762" t="n">
        <v>3</v>
      </c>
      <c r="AI762" t="n">
        <v>3</v>
      </c>
      <c r="AJ762" t="n">
        <v>2</v>
      </c>
      <c r="AK762" t="n">
        <v>2</v>
      </c>
      <c r="AL762" t="n">
        <v>0</v>
      </c>
      <c r="AM762" t="n">
        <v>0</v>
      </c>
      <c r="AN762" t="n">
        <v>0</v>
      </c>
      <c r="AO762" t="n">
        <v>0</v>
      </c>
      <c r="AP762" t="inlineStr">
        <is>
          <t>No</t>
        </is>
      </c>
      <c r="AQ762" t="inlineStr">
        <is>
          <t>Yes</t>
        </is>
      </c>
      <c r="AR762">
        <f>HYPERLINK("http://catalog.hathitrust.org/Record/003122445","HathiTrust Record")</f>
        <v/>
      </c>
      <c r="AS762">
        <f>HYPERLINK("https://creighton-primo.hosted.exlibrisgroup.com/primo-explore/search?tab=default_tab&amp;search_scope=EVERYTHING&amp;vid=01CRU&amp;lang=en_US&amp;offset=0&amp;query=any,contains,991002574769702656","Catalog Record")</f>
        <v/>
      </c>
      <c r="AT762">
        <f>HYPERLINK("http://www.worldcat.org/oclc/33450445","WorldCat Record")</f>
        <v/>
      </c>
      <c r="AU762" t="inlineStr">
        <is>
          <t>37427668:eng</t>
        </is>
      </c>
      <c r="AV762" t="inlineStr">
        <is>
          <t>33450445</t>
        </is>
      </c>
      <c r="AW762" t="inlineStr">
        <is>
          <t>991002574769702656</t>
        </is>
      </c>
      <c r="AX762" t="inlineStr">
        <is>
          <t>991002574769702656</t>
        </is>
      </c>
      <c r="AY762" t="inlineStr">
        <is>
          <t>2269277560002656</t>
        </is>
      </c>
      <c r="AZ762" t="inlineStr">
        <is>
          <t>BOOK</t>
        </is>
      </c>
      <c r="BC762" t="inlineStr">
        <is>
          <t>32285003594412</t>
        </is>
      </c>
      <c r="BD762" t="inlineStr">
        <is>
          <t>893421546</t>
        </is>
      </c>
    </row>
    <row r="763">
      <c r="A763" t="inlineStr">
        <is>
          <t>No</t>
        </is>
      </c>
      <c r="B763" t="inlineStr">
        <is>
          <t>PL782.E5 T95 1992</t>
        </is>
      </c>
      <c r="C763" t="inlineStr">
        <is>
          <t>0                      PL 0782000E  5                  T  95          1992</t>
        </is>
      </c>
      <c r="D763" t="inlineStr">
        <is>
          <t>Japanese nō dramas / edited and translated by Royall Tyler.</t>
        </is>
      </c>
      <c r="F763" t="inlineStr">
        <is>
          <t>No</t>
        </is>
      </c>
      <c r="G763" t="inlineStr">
        <is>
          <t>1</t>
        </is>
      </c>
      <c r="H763" t="inlineStr">
        <is>
          <t>No</t>
        </is>
      </c>
      <c r="I763" t="inlineStr">
        <is>
          <t>No</t>
        </is>
      </c>
      <c r="J763" t="inlineStr">
        <is>
          <t>0</t>
        </is>
      </c>
      <c r="K763" t="inlineStr">
        <is>
          <t>Tyler, Royall.</t>
        </is>
      </c>
      <c r="L763" t="inlineStr">
        <is>
          <t>London : Penguin Books, 1992.</t>
        </is>
      </c>
      <c r="M763" t="inlineStr">
        <is>
          <t>1992</t>
        </is>
      </c>
      <c r="O763" t="inlineStr">
        <is>
          <t>eng</t>
        </is>
      </c>
      <c r="P763" t="inlineStr">
        <is>
          <t>enk</t>
        </is>
      </c>
      <c r="R763" t="inlineStr">
        <is>
          <t xml:space="preserve">PL </t>
        </is>
      </c>
      <c r="S763" t="n">
        <v>9</v>
      </c>
      <c r="T763" t="n">
        <v>9</v>
      </c>
      <c r="U763" t="inlineStr">
        <is>
          <t>2009-03-06</t>
        </is>
      </c>
      <c r="V763" t="inlineStr">
        <is>
          <t>2009-03-06</t>
        </is>
      </c>
      <c r="W763" t="inlineStr">
        <is>
          <t>1997-08-28</t>
        </is>
      </c>
      <c r="X763" t="inlineStr">
        <is>
          <t>1997-08-28</t>
        </is>
      </c>
      <c r="Y763" t="n">
        <v>536</v>
      </c>
      <c r="Z763" t="n">
        <v>380</v>
      </c>
      <c r="AA763" t="n">
        <v>394</v>
      </c>
      <c r="AB763" t="n">
        <v>5</v>
      </c>
      <c r="AC763" t="n">
        <v>5</v>
      </c>
      <c r="AD763" t="n">
        <v>22</v>
      </c>
      <c r="AE763" t="n">
        <v>22</v>
      </c>
      <c r="AF763" t="n">
        <v>12</v>
      </c>
      <c r="AG763" t="n">
        <v>12</v>
      </c>
      <c r="AH763" t="n">
        <v>3</v>
      </c>
      <c r="AI763" t="n">
        <v>3</v>
      </c>
      <c r="AJ763" t="n">
        <v>8</v>
      </c>
      <c r="AK763" t="n">
        <v>8</v>
      </c>
      <c r="AL763" t="n">
        <v>4</v>
      </c>
      <c r="AM763" t="n">
        <v>4</v>
      </c>
      <c r="AN763" t="n">
        <v>0</v>
      </c>
      <c r="AO763" t="n">
        <v>0</v>
      </c>
      <c r="AP763" t="inlineStr">
        <is>
          <t>No</t>
        </is>
      </c>
      <c r="AQ763" t="inlineStr">
        <is>
          <t>No</t>
        </is>
      </c>
      <c r="AS763">
        <f>HYPERLINK("https://creighton-primo.hosted.exlibrisgroup.com/primo-explore/search?tab=default_tab&amp;search_scope=EVERYTHING&amp;vid=01CRU&amp;lang=en_US&amp;offset=0&amp;query=any,contains,991005418459702656","Catalog Record")</f>
        <v/>
      </c>
      <c r="AT763">
        <f>HYPERLINK("http://www.worldcat.org/oclc/29847742","WorldCat Record")</f>
        <v/>
      </c>
      <c r="AU763" t="inlineStr">
        <is>
          <t>141709722:eng</t>
        </is>
      </c>
      <c r="AV763" t="inlineStr">
        <is>
          <t>29847742</t>
        </is>
      </c>
      <c r="AW763" t="inlineStr">
        <is>
          <t>991005418459702656</t>
        </is>
      </c>
      <c r="AX763" t="inlineStr">
        <is>
          <t>991005418459702656</t>
        </is>
      </c>
      <c r="AY763" t="inlineStr">
        <is>
          <t>2263413500002656</t>
        </is>
      </c>
      <c r="AZ763" t="inlineStr">
        <is>
          <t>BOOK</t>
        </is>
      </c>
      <c r="BB763" t="inlineStr">
        <is>
          <t>9780140445398</t>
        </is>
      </c>
      <c r="BC763" t="inlineStr">
        <is>
          <t>32285003002564</t>
        </is>
      </c>
      <c r="BD763" t="inlineStr">
        <is>
          <t>893802279</t>
        </is>
      </c>
    </row>
    <row r="764">
      <c r="A764" t="inlineStr">
        <is>
          <t>No</t>
        </is>
      </c>
      <c r="B764" t="inlineStr">
        <is>
          <t>PL782.E5 W3 1976</t>
        </is>
      </c>
      <c r="C764" t="inlineStr">
        <is>
          <t>0                      PL 0782000E  5                  W  3           1976</t>
        </is>
      </c>
      <c r="D764" t="inlineStr">
        <is>
          <t>The nō Plays of Japan / by Arthur Waley.</t>
        </is>
      </c>
      <c r="F764" t="inlineStr">
        <is>
          <t>No</t>
        </is>
      </c>
      <c r="G764" t="inlineStr">
        <is>
          <t>1</t>
        </is>
      </c>
      <c r="H764" t="inlineStr">
        <is>
          <t>No</t>
        </is>
      </c>
      <c r="I764" t="inlineStr">
        <is>
          <t>Yes</t>
        </is>
      </c>
      <c r="J764" t="inlineStr">
        <is>
          <t>0</t>
        </is>
      </c>
      <c r="K764" t="inlineStr">
        <is>
          <t>Waley, Arthur.</t>
        </is>
      </c>
      <c r="L764" t="inlineStr">
        <is>
          <t>Rutland, Vt. : C. E. Tuttle, 1976.</t>
        </is>
      </c>
      <c r="M764" t="inlineStr">
        <is>
          <t>1976</t>
        </is>
      </c>
      <c r="O764" t="inlineStr">
        <is>
          <t>eng</t>
        </is>
      </c>
      <c r="P764" t="inlineStr">
        <is>
          <t>vtu</t>
        </is>
      </c>
      <c r="Q764" t="inlineStr">
        <is>
          <t>Tut books</t>
        </is>
      </c>
      <c r="R764" t="inlineStr">
        <is>
          <t xml:space="preserve">PL </t>
        </is>
      </c>
      <c r="S764" t="n">
        <v>16</v>
      </c>
      <c r="T764" t="n">
        <v>16</v>
      </c>
      <c r="U764" t="inlineStr">
        <is>
          <t>2008-03-17</t>
        </is>
      </c>
      <c r="V764" t="inlineStr">
        <is>
          <t>2008-03-17</t>
        </is>
      </c>
      <c r="W764" t="inlineStr">
        <is>
          <t>1993-05-03</t>
        </is>
      </c>
      <c r="X764" t="inlineStr">
        <is>
          <t>1993-05-03</t>
        </is>
      </c>
      <c r="Y764" t="n">
        <v>266</v>
      </c>
      <c r="Z764" t="n">
        <v>185</v>
      </c>
      <c r="AA764" t="n">
        <v>1380</v>
      </c>
      <c r="AB764" t="n">
        <v>6</v>
      </c>
      <c r="AC764" t="n">
        <v>12</v>
      </c>
      <c r="AD764" t="n">
        <v>12</v>
      </c>
      <c r="AE764" t="n">
        <v>51</v>
      </c>
      <c r="AF764" t="n">
        <v>4</v>
      </c>
      <c r="AG764" t="n">
        <v>19</v>
      </c>
      <c r="AH764" t="n">
        <v>1</v>
      </c>
      <c r="AI764" t="n">
        <v>10</v>
      </c>
      <c r="AJ764" t="n">
        <v>4</v>
      </c>
      <c r="AK764" t="n">
        <v>25</v>
      </c>
      <c r="AL764" t="n">
        <v>5</v>
      </c>
      <c r="AM764" t="n">
        <v>10</v>
      </c>
      <c r="AN764" t="n">
        <v>0</v>
      </c>
      <c r="AO764" t="n">
        <v>0</v>
      </c>
      <c r="AP764" t="inlineStr">
        <is>
          <t>No</t>
        </is>
      </c>
      <c r="AQ764" t="inlineStr">
        <is>
          <t>Yes</t>
        </is>
      </c>
      <c r="AR764">
        <f>HYPERLINK("http://catalog.hathitrust.org/Record/000253000","HathiTrust Record")</f>
        <v/>
      </c>
      <c r="AS764">
        <f>HYPERLINK("https://creighton-primo.hosted.exlibrisgroup.com/primo-explore/search?tab=default_tab&amp;search_scope=EVERYTHING&amp;vid=01CRU&amp;lang=en_US&amp;offset=0&amp;query=any,contains,991004331129702656","Catalog Record")</f>
        <v/>
      </c>
      <c r="AT764">
        <f>HYPERLINK("http://www.worldcat.org/oclc/3060253","WorldCat Record")</f>
        <v/>
      </c>
      <c r="AU764" t="inlineStr">
        <is>
          <t>453722:eng</t>
        </is>
      </c>
      <c r="AV764" t="inlineStr">
        <is>
          <t>3060253</t>
        </is>
      </c>
      <c r="AW764" t="inlineStr">
        <is>
          <t>991004331129702656</t>
        </is>
      </c>
      <c r="AX764" t="inlineStr">
        <is>
          <t>991004331129702656</t>
        </is>
      </c>
      <c r="AY764" t="inlineStr">
        <is>
          <t>2272118830002656</t>
        </is>
      </c>
      <c r="AZ764" t="inlineStr">
        <is>
          <t>BOOK</t>
        </is>
      </c>
      <c r="BB764" t="inlineStr">
        <is>
          <t>9780804811989</t>
        </is>
      </c>
      <c r="BC764" t="inlineStr">
        <is>
          <t>32285001632909</t>
        </is>
      </c>
      <c r="BD764" t="inlineStr">
        <is>
          <t>893612223</t>
        </is>
      </c>
    </row>
    <row r="765">
      <c r="A765" t="inlineStr">
        <is>
          <t>No</t>
        </is>
      </c>
      <c r="B765" t="inlineStr">
        <is>
          <t>PL782.E8 I97 1974</t>
        </is>
      </c>
      <c r="C765" t="inlineStr">
        <is>
          <t>0                      PL 0782000E  8                  I  97          1974</t>
        </is>
      </c>
      <c r="D765" t="inlineStr">
        <is>
          <t>The Izu dancer and other stories.</t>
        </is>
      </c>
      <c r="F765" t="inlineStr">
        <is>
          <t>No</t>
        </is>
      </c>
      <c r="G765" t="inlineStr">
        <is>
          <t>1</t>
        </is>
      </c>
      <c r="H765" t="inlineStr">
        <is>
          <t>No</t>
        </is>
      </c>
      <c r="I765" t="inlineStr">
        <is>
          <t>No</t>
        </is>
      </c>
      <c r="J765" t="inlineStr">
        <is>
          <t>0</t>
        </is>
      </c>
      <c r="L765" t="inlineStr">
        <is>
          <t>Rutland, Vt. : C. E. Tuttle Co., 1974.</t>
        </is>
      </c>
      <c r="M765" t="inlineStr">
        <is>
          <t>1974</t>
        </is>
      </c>
      <c r="O765" t="inlineStr">
        <is>
          <t>eng</t>
        </is>
      </c>
      <c r="P765" t="inlineStr">
        <is>
          <t>vtu</t>
        </is>
      </c>
      <c r="Q765" t="inlineStr">
        <is>
          <t>Tut books. L</t>
        </is>
      </c>
      <c r="R765" t="inlineStr">
        <is>
          <t xml:space="preserve">PL </t>
        </is>
      </c>
      <c r="S765" t="n">
        <v>3</v>
      </c>
      <c r="T765" t="n">
        <v>3</v>
      </c>
      <c r="U765" t="inlineStr">
        <is>
          <t>2002-10-07</t>
        </is>
      </c>
      <c r="V765" t="inlineStr">
        <is>
          <t>2002-10-07</t>
        </is>
      </c>
      <c r="W765" t="inlineStr">
        <is>
          <t>1997-08-28</t>
        </is>
      </c>
      <c r="X765" t="inlineStr">
        <is>
          <t>1997-08-28</t>
        </is>
      </c>
      <c r="Y765" t="n">
        <v>325</v>
      </c>
      <c r="Z765" t="n">
        <v>244</v>
      </c>
      <c r="AA765" t="n">
        <v>279</v>
      </c>
      <c r="AB765" t="n">
        <v>2</v>
      </c>
      <c r="AC765" t="n">
        <v>2</v>
      </c>
      <c r="AD765" t="n">
        <v>11</v>
      </c>
      <c r="AE765" t="n">
        <v>12</v>
      </c>
      <c r="AF765" t="n">
        <v>3</v>
      </c>
      <c r="AG765" t="n">
        <v>3</v>
      </c>
      <c r="AH765" t="n">
        <v>3</v>
      </c>
      <c r="AI765" t="n">
        <v>4</v>
      </c>
      <c r="AJ765" t="n">
        <v>5</v>
      </c>
      <c r="AK765" t="n">
        <v>5</v>
      </c>
      <c r="AL765" t="n">
        <v>1</v>
      </c>
      <c r="AM765" t="n">
        <v>1</v>
      </c>
      <c r="AN765" t="n">
        <v>0</v>
      </c>
      <c r="AO765" t="n">
        <v>0</v>
      </c>
      <c r="AP765" t="inlineStr">
        <is>
          <t>No</t>
        </is>
      </c>
      <c r="AQ765" t="inlineStr">
        <is>
          <t>No</t>
        </is>
      </c>
      <c r="AS765">
        <f>HYPERLINK("https://creighton-primo.hosted.exlibrisgroup.com/primo-explore/search?tab=default_tab&amp;search_scope=EVERYTHING&amp;vid=01CRU&amp;lang=en_US&amp;offset=0&amp;query=any,contains,991003619939702656","Catalog Record")</f>
        <v/>
      </c>
      <c r="AT765">
        <f>HYPERLINK("http://www.worldcat.org/oclc/1206150","WorldCat Record")</f>
        <v/>
      </c>
      <c r="AU765" t="inlineStr">
        <is>
          <t>3855364311:eng</t>
        </is>
      </c>
      <c r="AV765" t="inlineStr">
        <is>
          <t>1206150</t>
        </is>
      </c>
      <c r="AW765" t="inlineStr">
        <is>
          <t>991003619939702656</t>
        </is>
      </c>
      <c r="AX765" t="inlineStr">
        <is>
          <t>991003619939702656</t>
        </is>
      </c>
      <c r="AY765" t="inlineStr">
        <is>
          <t>2269874140002656</t>
        </is>
      </c>
      <c r="AZ765" t="inlineStr">
        <is>
          <t>BOOK</t>
        </is>
      </c>
      <c r="BB765" t="inlineStr">
        <is>
          <t>9780804811415</t>
        </is>
      </c>
      <c r="BC765" t="inlineStr">
        <is>
          <t>32285003002671</t>
        </is>
      </c>
      <c r="BD765" t="inlineStr">
        <is>
          <t>893324267</t>
        </is>
      </c>
    </row>
    <row r="766">
      <c r="A766" t="inlineStr">
        <is>
          <t>No</t>
        </is>
      </c>
      <c r="B766" t="inlineStr">
        <is>
          <t>PL782.E8 S8 1982</t>
        </is>
      </c>
      <c r="C766" t="inlineStr">
        <is>
          <t>0                      PL 0782000E  8                  S  8           1982</t>
        </is>
      </c>
      <c r="D766" t="inlineStr">
        <is>
          <t>Stories by contemporary Japanese women writers / translators and editors Noriko Mizuta Lippit and Kyoko Iriye Selden.</t>
        </is>
      </c>
      <c r="F766" t="inlineStr">
        <is>
          <t>No</t>
        </is>
      </c>
      <c r="G766" t="inlineStr">
        <is>
          <t>1</t>
        </is>
      </c>
      <c r="H766" t="inlineStr">
        <is>
          <t>No</t>
        </is>
      </c>
      <c r="I766" t="inlineStr">
        <is>
          <t>No</t>
        </is>
      </c>
      <c r="J766" t="inlineStr">
        <is>
          <t>0</t>
        </is>
      </c>
      <c r="L766" t="inlineStr">
        <is>
          <t>Armonk, New York : M.E. Sharpe, 1982.</t>
        </is>
      </c>
      <c r="M766" t="inlineStr">
        <is>
          <t>1982</t>
        </is>
      </c>
      <c r="O766" t="inlineStr">
        <is>
          <t>eng</t>
        </is>
      </c>
      <c r="P766" t="inlineStr">
        <is>
          <t>nyu</t>
        </is>
      </c>
      <c r="R766" t="inlineStr">
        <is>
          <t xml:space="preserve">PL </t>
        </is>
      </c>
      <c r="S766" t="n">
        <v>4</v>
      </c>
      <c r="T766" t="n">
        <v>4</v>
      </c>
      <c r="U766" t="inlineStr">
        <is>
          <t>1999-04-12</t>
        </is>
      </c>
      <c r="V766" t="inlineStr">
        <is>
          <t>1999-04-12</t>
        </is>
      </c>
      <c r="W766" t="inlineStr">
        <is>
          <t>1993-05-04</t>
        </is>
      </c>
      <c r="X766" t="inlineStr">
        <is>
          <t>1993-05-04</t>
        </is>
      </c>
      <c r="Y766" t="n">
        <v>428</v>
      </c>
      <c r="Z766" t="n">
        <v>371</v>
      </c>
      <c r="AA766" t="n">
        <v>388</v>
      </c>
      <c r="AB766" t="n">
        <v>2</v>
      </c>
      <c r="AC766" t="n">
        <v>2</v>
      </c>
      <c r="AD766" t="n">
        <v>16</v>
      </c>
      <c r="AE766" t="n">
        <v>16</v>
      </c>
      <c r="AF766" t="n">
        <v>5</v>
      </c>
      <c r="AG766" t="n">
        <v>5</v>
      </c>
      <c r="AH766" t="n">
        <v>4</v>
      </c>
      <c r="AI766" t="n">
        <v>4</v>
      </c>
      <c r="AJ766" t="n">
        <v>9</v>
      </c>
      <c r="AK766" t="n">
        <v>9</v>
      </c>
      <c r="AL766" t="n">
        <v>1</v>
      </c>
      <c r="AM766" t="n">
        <v>1</v>
      </c>
      <c r="AN766" t="n">
        <v>0</v>
      </c>
      <c r="AO766" t="n">
        <v>0</v>
      </c>
      <c r="AP766" t="inlineStr">
        <is>
          <t>No</t>
        </is>
      </c>
      <c r="AQ766" t="inlineStr">
        <is>
          <t>Yes</t>
        </is>
      </c>
      <c r="AR766">
        <f>HYPERLINK("http://catalog.hathitrust.org/Record/000769729","HathiTrust Record")</f>
        <v/>
      </c>
      <c r="AS766">
        <f>HYPERLINK("https://creighton-primo.hosted.exlibrisgroup.com/primo-explore/search?tab=default_tab&amp;search_scope=EVERYTHING&amp;vid=01CRU&amp;lang=en_US&amp;offset=0&amp;query=any,contains,991000018269702656","Catalog Record")</f>
        <v/>
      </c>
      <c r="AT766">
        <f>HYPERLINK("http://www.worldcat.org/oclc/8553664","WorldCat Record")</f>
        <v/>
      </c>
      <c r="AU766" t="inlineStr">
        <is>
          <t>350953148:eng</t>
        </is>
      </c>
      <c r="AV766" t="inlineStr">
        <is>
          <t>8553664</t>
        </is>
      </c>
      <c r="AW766" t="inlineStr">
        <is>
          <t>991000018269702656</t>
        </is>
      </c>
      <c r="AX766" t="inlineStr">
        <is>
          <t>991000018269702656</t>
        </is>
      </c>
      <c r="AY766" t="inlineStr">
        <is>
          <t>2258929410002656</t>
        </is>
      </c>
      <c r="AZ766" t="inlineStr">
        <is>
          <t>BOOK</t>
        </is>
      </c>
      <c r="BB766" t="inlineStr">
        <is>
          <t>9780873322232</t>
        </is>
      </c>
      <c r="BC766" t="inlineStr">
        <is>
          <t>32285001671667</t>
        </is>
      </c>
      <c r="BD766" t="inlineStr">
        <is>
          <t>893790175</t>
        </is>
      </c>
    </row>
    <row r="767">
      <c r="A767" t="inlineStr">
        <is>
          <t>No</t>
        </is>
      </c>
      <c r="B767" t="inlineStr">
        <is>
          <t>PL787 .I813 1972</t>
        </is>
      </c>
      <c r="C767" t="inlineStr">
        <is>
          <t>0                      PL 0787000I  813         1972</t>
        </is>
      </c>
      <c r="D767" t="inlineStr">
        <is>
          <t>The tales of Ise / Translated from the classical Japanese by H. Jay Harris.</t>
        </is>
      </c>
      <c r="F767" t="inlineStr">
        <is>
          <t>No</t>
        </is>
      </c>
      <c r="G767" t="inlineStr">
        <is>
          <t>1</t>
        </is>
      </c>
      <c r="H767" t="inlineStr">
        <is>
          <t>No</t>
        </is>
      </c>
      <c r="I767" t="inlineStr">
        <is>
          <t>No</t>
        </is>
      </c>
      <c r="J767" t="inlineStr">
        <is>
          <t>0</t>
        </is>
      </c>
      <c r="K767" t="inlineStr">
        <is>
          <t>Ise monogatari. English</t>
        </is>
      </c>
      <c r="L767" t="inlineStr">
        <is>
          <t>Rutland, Vt. : C. E. Tuttle Co., 1972.</t>
        </is>
      </c>
      <c r="M767" t="inlineStr">
        <is>
          <t>1972</t>
        </is>
      </c>
      <c r="O767" t="inlineStr">
        <is>
          <t>eng</t>
        </is>
      </c>
      <c r="P767" t="inlineStr">
        <is>
          <t>vtu</t>
        </is>
      </c>
      <c r="R767" t="inlineStr">
        <is>
          <t xml:space="preserve">PL </t>
        </is>
      </c>
      <c r="S767" t="n">
        <v>2</v>
      </c>
      <c r="T767" t="n">
        <v>2</v>
      </c>
      <c r="U767" t="inlineStr">
        <is>
          <t>1999-03-18</t>
        </is>
      </c>
      <c r="V767" t="inlineStr">
        <is>
          <t>1999-03-18</t>
        </is>
      </c>
      <c r="W767" t="inlineStr">
        <is>
          <t>1992-05-04</t>
        </is>
      </c>
      <c r="X767" t="inlineStr">
        <is>
          <t>1992-05-04</t>
        </is>
      </c>
      <c r="Y767" t="n">
        <v>308</v>
      </c>
      <c r="Z767" t="n">
        <v>243</v>
      </c>
      <c r="AA767" t="n">
        <v>267</v>
      </c>
      <c r="AB767" t="n">
        <v>2</v>
      </c>
      <c r="AC767" t="n">
        <v>2</v>
      </c>
      <c r="AD767" t="n">
        <v>10</v>
      </c>
      <c r="AE767" t="n">
        <v>10</v>
      </c>
      <c r="AF767" t="n">
        <v>2</v>
      </c>
      <c r="AG767" t="n">
        <v>2</v>
      </c>
      <c r="AH767" t="n">
        <v>4</v>
      </c>
      <c r="AI767" t="n">
        <v>4</v>
      </c>
      <c r="AJ767" t="n">
        <v>6</v>
      </c>
      <c r="AK767" t="n">
        <v>6</v>
      </c>
      <c r="AL767" t="n">
        <v>1</v>
      </c>
      <c r="AM767" t="n">
        <v>1</v>
      </c>
      <c r="AN767" t="n">
        <v>0</v>
      </c>
      <c r="AO767" t="n">
        <v>0</v>
      </c>
      <c r="AP767" t="inlineStr">
        <is>
          <t>No</t>
        </is>
      </c>
      <c r="AQ767" t="inlineStr">
        <is>
          <t>Yes</t>
        </is>
      </c>
      <c r="AR767">
        <f>HYPERLINK("http://catalog.hathitrust.org/Record/001184783","HathiTrust Record")</f>
        <v/>
      </c>
      <c r="AS767">
        <f>HYPERLINK("https://creighton-primo.hosted.exlibrisgroup.com/primo-explore/search?tab=default_tab&amp;search_scope=EVERYTHING&amp;vid=01CRU&amp;lang=en_US&amp;offset=0&amp;query=any,contains,991002341609702656","Catalog Record")</f>
        <v/>
      </c>
      <c r="AT767">
        <f>HYPERLINK("http://www.worldcat.org/oclc/323655","WorldCat Record")</f>
        <v/>
      </c>
      <c r="AU767" t="inlineStr">
        <is>
          <t>118258049:eng</t>
        </is>
      </c>
      <c r="AV767" t="inlineStr">
        <is>
          <t>323655</t>
        </is>
      </c>
      <c r="AW767" t="inlineStr">
        <is>
          <t>991002341609702656</t>
        </is>
      </c>
      <c r="AX767" t="inlineStr">
        <is>
          <t>991002341609702656</t>
        </is>
      </c>
      <c r="AY767" t="inlineStr">
        <is>
          <t>2256580260002656</t>
        </is>
      </c>
      <c r="AZ767" t="inlineStr">
        <is>
          <t>BOOK</t>
        </is>
      </c>
      <c r="BB767" t="inlineStr">
        <is>
          <t>9780804807456</t>
        </is>
      </c>
      <c r="BC767" t="inlineStr">
        <is>
          <t>32285001091551</t>
        </is>
      </c>
      <c r="BD767" t="inlineStr">
        <is>
          <t>893352275</t>
        </is>
      </c>
    </row>
    <row r="768">
      <c r="A768" t="inlineStr">
        <is>
          <t>No</t>
        </is>
      </c>
      <c r="B768" t="inlineStr">
        <is>
          <t>PL787.T74 E5 1985</t>
        </is>
      </c>
      <c r="C768" t="inlineStr">
        <is>
          <t>0                      PL 0787000T  74                 E  5           1985</t>
        </is>
      </c>
      <c r="D768" t="inlineStr">
        <is>
          <t>The Riverside Counselor's stories : vernacular fiction of late Heian Japan / translated, with an introduction and notes, by Robert L. Backus.</t>
        </is>
      </c>
      <c r="F768" t="inlineStr">
        <is>
          <t>No</t>
        </is>
      </c>
      <c r="G768" t="inlineStr">
        <is>
          <t>1</t>
        </is>
      </c>
      <c r="H768" t="inlineStr">
        <is>
          <t>No</t>
        </is>
      </c>
      <c r="I768" t="inlineStr">
        <is>
          <t>No</t>
        </is>
      </c>
      <c r="J768" t="inlineStr">
        <is>
          <t>0</t>
        </is>
      </c>
      <c r="K768" t="inlineStr">
        <is>
          <t>Tsutsumi Chūnagon monogatari. English.</t>
        </is>
      </c>
      <c r="L768" t="inlineStr">
        <is>
          <t>Stanford, California : Stanford University Press, 1985.</t>
        </is>
      </c>
      <c r="M768" t="inlineStr">
        <is>
          <t>1985</t>
        </is>
      </c>
      <c r="O768" t="inlineStr">
        <is>
          <t>eng</t>
        </is>
      </c>
      <c r="P768" t="inlineStr">
        <is>
          <t>cau</t>
        </is>
      </c>
      <c r="R768" t="inlineStr">
        <is>
          <t xml:space="preserve">PL </t>
        </is>
      </c>
      <c r="S768" t="n">
        <v>6</v>
      </c>
      <c r="T768" t="n">
        <v>6</v>
      </c>
      <c r="U768" t="inlineStr">
        <is>
          <t>1999-03-18</t>
        </is>
      </c>
      <c r="V768" t="inlineStr">
        <is>
          <t>1999-03-18</t>
        </is>
      </c>
      <c r="W768" t="inlineStr">
        <is>
          <t>1993-05-04</t>
        </is>
      </c>
      <c r="X768" t="inlineStr">
        <is>
          <t>1993-05-04</t>
        </is>
      </c>
      <c r="Y768" t="n">
        <v>284</v>
      </c>
      <c r="Z768" t="n">
        <v>229</v>
      </c>
      <c r="AA768" t="n">
        <v>229</v>
      </c>
      <c r="AB768" t="n">
        <v>2</v>
      </c>
      <c r="AC768" t="n">
        <v>2</v>
      </c>
      <c r="AD768" t="n">
        <v>6</v>
      </c>
      <c r="AE768" t="n">
        <v>6</v>
      </c>
      <c r="AF768" t="n">
        <v>1</v>
      </c>
      <c r="AG768" t="n">
        <v>1</v>
      </c>
      <c r="AH768" t="n">
        <v>2</v>
      </c>
      <c r="AI768" t="n">
        <v>2</v>
      </c>
      <c r="AJ768" t="n">
        <v>3</v>
      </c>
      <c r="AK768" t="n">
        <v>3</v>
      </c>
      <c r="AL768" t="n">
        <v>1</v>
      </c>
      <c r="AM768" t="n">
        <v>1</v>
      </c>
      <c r="AN768" t="n">
        <v>0</v>
      </c>
      <c r="AO768" t="n">
        <v>0</v>
      </c>
      <c r="AP768" t="inlineStr">
        <is>
          <t>No</t>
        </is>
      </c>
      <c r="AQ768" t="inlineStr">
        <is>
          <t>No</t>
        </is>
      </c>
      <c r="AS768">
        <f>HYPERLINK("https://creighton-primo.hosted.exlibrisgroup.com/primo-explore/search?tab=default_tab&amp;search_scope=EVERYTHING&amp;vid=01CRU&amp;lang=en_US&amp;offset=0&amp;query=any,contains,991000552909702656","Catalog Record")</f>
        <v/>
      </c>
      <c r="AT768">
        <f>HYPERLINK("http://www.worldcat.org/oclc/11548508","WorldCat Record")</f>
        <v/>
      </c>
      <c r="AU768" t="inlineStr">
        <is>
          <t>144011518:eng</t>
        </is>
      </c>
      <c r="AV768" t="inlineStr">
        <is>
          <t>11548508</t>
        </is>
      </c>
      <c r="AW768" t="inlineStr">
        <is>
          <t>991000552909702656</t>
        </is>
      </c>
      <c r="AX768" t="inlineStr">
        <is>
          <t>991000552909702656</t>
        </is>
      </c>
      <c r="AY768" t="inlineStr">
        <is>
          <t>2259954540002656</t>
        </is>
      </c>
      <c r="AZ768" t="inlineStr">
        <is>
          <t>BOOK</t>
        </is>
      </c>
      <c r="BB768" t="inlineStr">
        <is>
          <t>9780804712606</t>
        </is>
      </c>
      <c r="BC768" t="inlineStr">
        <is>
          <t>32285001671691</t>
        </is>
      </c>
      <c r="BD768" t="inlineStr">
        <is>
          <t>893521787</t>
        </is>
      </c>
    </row>
    <row r="769">
      <c r="A769" t="inlineStr">
        <is>
          <t>No</t>
        </is>
      </c>
      <c r="B769" t="inlineStr">
        <is>
          <t>PL788.3.Z5 A313 1976</t>
        </is>
      </c>
      <c r="C769" t="inlineStr">
        <is>
          <t>0                      PL 0788300Z  5                  A  313         1976</t>
        </is>
      </c>
      <c r="D769" t="inlineStr">
        <is>
          <t>The Tosa diary / translated from the Japanese by William N. Porter.</t>
        </is>
      </c>
      <c r="F769" t="inlineStr">
        <is>
          <t>No</t>
        </is>
      </c>
      <c r="G769" t="inlineStr">
        <is>
          <t>1</t>
        </is>
      </c>
      <c r="H769" t="inlineStr">
        <is>
          <t>No</t>
        </is>
      </c>
      <c r="I769" t="inlineStr">
        <is>
          <t>No</t>
        </is>
      </c>
      <c r="J769" t="inlineStr">
        <is>
          <t>0</t>
        </is>
      </c>
      <c r="K769" t="inlineStr">
        <is>
          <t>Ki, Tsurayuki, -945 or 946.</t>
        </is>
      </c>
      <c r="L769" t="inlineStr">
        <is>
          <t>New York : AMS Press, 1976.</t>
        </is>
      </c>
      <c r="M769" t="inlineStr">
        <is>
          <t>1976</t>
        </is>
      </c>
      <c r="O769" t="inlineStr">
        <is>
          <t>eng</t>
        </is>
      </c>
      <c r="P769" t="inlineStr">
        <is>
          <t>nyu</t>
        </is>
      </c>
      <c r="R769" t="inlineStr">
        <is>
          <t xml:space="preserve">PL </t>
        </is>
      </c>
      <c r="S769" t="n">
        <v>2</v>
      </c>
      <c r="T769" t="n">
        <v>2</v>
      </c>
      <c r="U769" t="inlineStr">
        <is>
          <t>1999-03-18</t>
        </is>
      </c>
      <c r="V769" t="inlineStr">
        <is>
          <t>1999-03-18</t>
        </is>
      </c>
      <c r="W769" t="inlineStr">
        <is>
          <t>1997-09-16</t>
        </is>
      </c>
      <c r="X769" t="inlineStr">
        <is>
          <t>1997-09-16</t>
        </is>
      </c>
      <c r="Y769" t="n">
        <v>103</v>
      </c>
      <c r="Z769" t="n">
        <v>94</v>
      </c>
      <c r="AA769" t="n">
        <v>262</v>
      </c>
      <c r="AB769" t="n">
        <v>1</v>
      </c>
      <c r="AC769" t="n">
        <v>1</v>
      </c>
      <c r="AD769" t="n">
        <v>7</v>
      </c>
      <c r="AE769" t="n">
        <v>12</v>
      </c>
      <c r="AF769" t="n">
        <v>5</v>
      </c>
      <c r="AG769" t="n">
        <v>8</v>
      </c>
      <c r="AH769" t="n">
        <v>2</v>
      </c>
      <c r="AI769" t="n">
        <v>4</v>
      </c>
      <c r="AJ769" t="n">
        <v>3</v>
      </c>
      <c r="AK769" t="n">
        <v>6</v>
      </c>
      <c r="AL769" t="n">
        <v>0</v>
      </c>
      <c r="AM769" t="n">
        <v>0</v>
      </c>
      <c r="AN769" t="n">
        <v>0</v>
      </c>
      <c r="AO769" t="n">
        <v>0</v>
      </c>
      <c r="AP769" t="inlineStr">
        <is>
          <t>No</t>
        </is>
      </c>
      <c r="AQ769" t="inlineStr">
        <is>
          <t>Yes</t>
        </is>
      </c>
      <c r="AR769">
        <f>HYPERLINK("http://catalog.hathitrust.org/Record/000713428","HathiTrust Record")</f>
        <v/>
      </c>
      <c r="AS769">
        <f>HYPERLINK("https://creighton-primo.hosted.exlibrisgroup.com/primo-explore/search?tab=default_tab&amp;search_scope=EVERYTHING&amp;vid=01CRU&amp;lang=en_US&amp;offset=0&amp;query=any,contains,991004059709702656","Catalog Record")</f>
        <v/>
      </c>
      <c r="AT769">
        <f>HYPERLINK("http://www.worldcat.org/oclc/2237620","WorldCat Record")</f>
        <v/>
      </c>
      <c r="AU769" t="inlineStr">
        <is>
          <t>10141727881:eng</t>
        </is>
      </c>
      <c r="AV769" t="inlineStr">
        <is>
          <t>2237620</t>
        </is>
      </c>
      <c r="AW769" t="inlineStr">
        <is>
          <t>991004059709702656</t>
        </is>
      </c>
      <c r="AX769" t="inlineStr">
        <is>
          <t>991004059709702656</t>
        </is>
      </c>
      <c r="AY769" t="inlineStr">
        <is>
          <t>2259178330002656</t>
        </is>
      </c>
      <c r="AZ769" t="inlineStr">
        <is>
          <t>BOOK</t>
        </is>
      </c>
      <c r="BB769" t="inlineStr">
        <is>
          <t>9780404146771</t>
        </is>
      </c>
      <c r="BC769" t="inlineStr">
        <is>
          <t>32285003224325</t>
        </is>
      </c>
      <c r="BD769" t="inlineStr">
        <is>
          <t>893500057</t>
        </is>
      </c>
    </row>
    <row r="770">
      <c r="A770" t="inlineStr">
        <is>
          <t>No</t>
        </is>
      </c>
      <c r="B770" t="inlineStr">
        <is>
          <t>PL788.4.G43 F5 1987</t>
        </is>
      </c>
      <c r="C770" t="inlineStr">
        <is>
          <t>0                      PL 0788400G  43                 F  5           1987</t>
        </is>
      </c>
      <c r="D770" t="inlineStr">
        <is>
          <t>The splendor of longing in the Tale of Genji / Norma Field.</t>
        </is>
      </c>
      <c r="F770" t="inlineStr">
        <is>
          <t>No</t>
        </is>
      </c>
      <c r="G770" t="inlineStr">
        <is>
          <t>1</t>
        </is>
      </c>
      <c r="H770" t="inlineStr">
        <is>
          <t>No</t>
        </is>
      </c>
      <c r="I770" t="inlineStr">
        <is>
          <t>No</t>
        </is>
      </c>
      <c r="J770" t="inlineStr">
        <is>
          <t>0</t>
        </is>
      </c>
      <c r="K770" t="inlineStr">
        <is>
          <t>Field, Norma, 1947-</t>
        </is>
      </c>
      <c r="L770" t="inlineStr">
        <is>
          <t>Princeton, N.J. : Princeton University Press, c1987.</t>
        </is>
      </c>
      <c r="M770" t="inlineStr">
        <is>
          <t>1987</t>
        </is>
      </c>
      <c r="O770" t="inlineStr">
        <is>
          <t>eng</t>
        </is>
      </c>
      <c r="P770" t="inlineStr">
        <is>
          <t>nju</t>
        </is>
      </c>
      <c r="R770" t="inlineStr">
        <is>
          <t xml:space="preserve">PL </t>
        </is>
      </c>
      <c r="S770" t="n">
        <v>3</v>
      </c>
      <c r="T770" t="n">
        <v>3</v>
      </c>
      <c r="U770" t="inlineStr">
        <is>
          <t>1998-05-01</t>
        </is>
      </c>
      <c r="V770" t="inlineStr">
        <is>
          <t>1998-05-01</t>
        </is>
      </c>
      <c r="W770" t="inlineStr">
        <is>
          <t>1997-04-09</t>
        </is>
      </c>
      <c r="X770" t="inlineStr">
        <is>
          <t>1997-04-09</t>
        </is>
      </c>
      <c r="Y770" t="n">
        <v>428</v>
      </c>
      <c r="Z770" t="n">
        <v>340</v>
      </c>
      <c r="AA770" t="n">
        <v>546</v>
      </c>
      <c r="AB770" t="n">
        <v>2</v>
      </c>
      <c r="AC770" t="n">
        <v>2</v>
      </c>
      <c r="AD770" t="n">
        <v>16</v>
      </c>
      <c r="AE770" t="n">
        <v>24</v>
      </c>
      <c r="AF770" t="n">
        <v>3</v>
      </c>
      <c r="AG770" t="n">
        <v>9</v>
      </c>
      <c r="AH770" t="n">
        <v>5</v>
      </c>
      <c r="AI770" t="n">
        <v>8</v>
      </c>
      <c r="AJ770" t="n">
        <v>11</v>
      </c>
      <c r="AK770" t="n">
        <v>13</v>
      </c>
      <c r="AL770" t="n">
        <v>1</v>
      </c>
      <c r="AM770" t="n">
        <v>1</v>
      </c>
      <c r="AN770" t="n">
        <v>0</v>
      </c>
      <c r="AO770" t="n">
        <v>0</v>
      </c>
      <c r="AP770" t="inlineStr">
        <is>
          <t>No</t>
        </is>
      </c>
      <c r="AQ770" t="inlineStr">
        <is>
          <t>No</t>
        </is>
      </c>
      <c r="AS770">
        <f>HYPERLINK("https://creighton-primo.hosted.exlibrisgroup.com/primo-explore/search?tab=default_tab&amp;search_scope=EVERYTHING&amp;vid=01CRU&amp;lang=en_US&amp;offset=0&amp;query=any,contains,991000913599702656","Catalog Record")</f>
        <v/>
      </c>
      <c r="AT770">
        <f>HYPERLINK("http://www.worldcat.org/oclc/14164770","WorldCat Record")</f>
        <v/>
      </c>
      <c r="AU770" t="inlineStr">
        <is>
          <t>7145434:eng</t>
        </is>
      </c>
      <c r="AV770" t="inlineStr">
        <is>
          <t>14164770</t>
        </is>
      </c>
      <c r="AW770" t="inlineStr">
        <is>
          <t>991000913599702656</t>
        </is>
      </c>
      <c r="AX770" t="inlineStr">
        <is>
          <t>991000913599702656</t>
        </is>
      </c>
      <c r="AY770" t="inlineStr">
        <is>
          <t>2270559710002656</t>
        </is>
      </c>
      <c r="AZ770" t="inlineStr">
        <is>
          <t>BOOK</t>
        </is>
      </c>
      <c r="BB770" t="inlineStr">
        <is>
          <t>9780691066912</t>
        </is>
      </c>
      <c r="BC770" t="inlineStr">
        <is>
          <t>32285002495678</t>
        </is>
      </c>
      <c r="BD770" t="inlineStr">
        <is>
          <t>893315348</t>
        </is>
      </c>
    </row>
    <row r="771">
      <c r="A771" t="inlineStr">
        <is>
          <t>No</t>
        </is>
      </c>
      <c r="B771" t="inlineStr">
        <is>
          <t>PL788.4.G43 S464 1987</t>
        </is>
      </c>
      <c r="C771" t="inlineStr">
        <is>
          <t>0                      PL 0788400G  43                 S  464         1987</t>
        </is>
      </c>
      <c r="D771" t="inlineStr">
        <is>
          <t>The bridge of dreams : a poetics of the Tale of Genji / Haruo Shirane.</t>
        </is>
      </c>
      <c r="F771" t="inlineStr">
        <is>
          <t>No</t>
        </is>
      </c>
      <c r="G771" t="inlineStr">
        <is>
          <t>1</t>
        </is>
      </c>
      <c r="H771" t="inlineStr">
        <is>
          <t>No</t>
        </is>
      </c>
      <c r="I771" t="inlineStr">
        <is>
          <t>No</t>
        </is>
      </c>
      <c r="J771" t="inlineStr">
        <is>
          <t>0</t>
        </is>
      </c>
      <c r="K771" t="inlineStr">
        <is>
          <t>Shirane, Haruo, 1951-</t>
        </is>
      </c>
      <c r="L771" t="inlineStr">
        <is>
          <t>Stanford, Calif. : Stanford University Press, c1987.</t>
        </is>
      </c>
      <c r="M771" t="inlineStr">
        <is>
          <t>1987</t>
        </is>
      </c>
      <c r="O771" t="inlineStr">
        <is>
          <t>eng</t>
        </is>
      </c>
      <c r="P771" t="inlineStr">
        <is>
          <t>cau</t>
        </is>
      </c>
      <c r="R771" t="inlineStr">
        <is>
          <t xml:space="preserve">PL </t>
        </is>
      </c>
      <c r="S771" t="n">
        <v>3</v>
      </c>
      <c r="T771" t="n">
        <v>3</v>
      </c>
      <c r="U771" t="inlineStr">
        <is>
          <t>1998-05-01</t>
        </is>
      </c>
      <c r="V771" t="inlineStr">
        <is>
          <t>1998-05-01</t>
        </is>
      </c>
      <c r="W771" t="inlineStr">
        <is>
          <t>1997-05-06</t>
        </is>
      </c>
      <c r="X771" t="inlineStr">
        <is>
          <t>1997-05-06</t>
        </is>
      </c>
      <c r="Y771" t="n">
        <v>559</v>
      </c>
      <c r="Z771" t="n">
        <v>451</v>
      </c>
      <c r="AA771" t="n">
        <v>451</v>
      </c>
      <c r="AB771" t="n">
        <v>4</v>
      </c>
      <c r="AC771" t="n">
        <v>4</v>
      </c>
      <c r="AD771" t="n">
        <v>27</v>
      </c>
      <c r="AE771" t="n">
        <v>27</v>
      </c>
      <c r="AF771" t="n">
        <v>9</v>
      </c>
      <c r="AG771" t="n">
        <v>9</v>
      </c>
      <c r="AH771" t="n">
        <v>6</v>
      </c>
      <c r="AI771" t="n">
        <v>6</v>
      </c>
      <c r="AJ771" t="n">
        <v>14</v>
      </c>
      <c r="AK771" t="n">
        <v>14</v>
      </c>
      <c r="AL771" t="n">
        <v>3</v>
      </c>
      <c r="AM771" t="n">
        <v>3</v>
      </c>
      <c r="AN771" t="n">
        <v>0</v>
      </c>
      <c r="AO771" t="n">
        <v>0</v>
      </c>
      <c r="AP771" t="inlineStr">
        <is>
          <t>No</t>
        </is>
      </c>
      <c r="AQ771" t="inlineStr">
        <is>
          <t>No</t>
        </is>
      </c>
      <c r="AS771">
        <f>HYPERLINK("https://creighton-primo.hosted.exlibrisgroup.com/primo-explore/search?tab=default_tab&amp;search_scope=EVERYTHING&amp;vid=01CRU&amp;lang=en_US&amp;offset=0&amp;query=any,contains,991000965419702656","Catalog Record")</f>
        <v/>
      </c>
      <c r="AT771">
        <f>HYPERLINK("http://www.worldcat.org/oclc/14905859","WorldCat Record")</f>
        <v/>
      </c>
      <c r="AU771" t="inlineStr">
        <is>
          <t>613190:eng</t>
        </is>
      </c>
      <c r="AV771" t="inlineStr">
        <is>
          <t>14905859</t>
        </is>
      </c>
      <c r="AW771" t="inlineStr">
        <is>
          <t>991000965419702656</t>
        </is>
      </c>
      <c r="AX771" t="inlineStr">
        <is>
          <t>991000965419702656</t>
        </is>
      </c>
      <c r="AY771" t="inlineStr">
        <is>
          <t>2267667020002656</t>
        </is>
      </c>
      <c r="AZ771" t="inlineStr">
        <is>
          <t>BOOK</t>
        </is>
      </c>
      <c r="BB771" t="inlineStr">
        <is>
          <t>9780804713450</t>
        </is>
      </c>
      <c r="BC771" t="inlineStr">
        <is>
          <t>32285002544673</t>
        </is>
      </c>
      <c r="BD771" t="inlineStr">
        <is>
          <t>893683903</t>
        </is>
      </c>
    </row>
    <row r="772">
      <c r="A772" t="inlineStr">
        <is>
          <t>No</t>
        </is>
      </c>
      <c r="B772" t="inlineStr">
        <is>
          <t>PL788.4.G43 U4 1982</t>
        </is>
      </c>
      <c r="C772" t="inlineStr">
        <is>
          <t>0                      PL 0788400G  43                 U  4           1982</t>
        </is>
      </c>
      <c r="D772" t="inlineStr">
        <is>
          <t>Ukifune : love in The tale of Genji / Andrew Pekarik, editor.</t>
        </is>
      </c>
      <c r="F772" t="inlineStr">
        <is>
          <t>No</t>
        </is>
      </c>
      <c r="G772" t="inlineStr">
        <is>
          <t>1</t>
        </is>
      </c>
      <c r="H772" t="inlineStr">
        <is>
          <t>No</t>
        </is>
      </c>
      <c r="I772" t="inlineStr">
        <is>
          <t>No</t>
        </is>
      </c>
      <c r="J772" t="inlineStr">
        <is>
          <t>0</t>
        </is>
      </c>
      <c r="L772" t="inlineStr">
        <is>
          <t>New York : Columbia University Press, 1982.</t>
        </is>
      </c>
      <c r="M772" t="inlineStr">
        <is>
          <t>1982</t>
        </is>
      </c>
      <c r="O772" t="inlineStr">
        <is>
          <t>eng</t>
        </is>
      </c>
      <c r="P772" t="inlineStr">
        <is>
          <t>nyu</t>
        </is>
      </c>
      <c r="Q772" t="inlineStr">
        <is>
          <t>Companions to Asian studies</t>
        </is>
      </c>
      <c r="R772" t="inlineStr">
        <is>
          <t xml:space="preserve">PL </t>
        </is>
      </c>
      <c r="S772" t="n">
        <v>3</v>
      </c>
      <c r="T772" t="n">
        <v>3</v>
      </c>
      <c r="U772" t="inlineStr">
        <is>
          <t>2006-04-14</t>
        </is>
      </c>
      <c r="V772" t="inlineStr">
        <is>
          <t>2006-04-14</t>
        </is>
      </c>
      <c r="W772" t="inlineStr">
        <is>
          <t>1997-04-17</t>
        </is>
      </c>
      <c r="X772" t="inlineStr">
        <is>
          <t>1997-04-17</t>
        </is>
      </c>
      <c r="Y772" t="n">
        <v>466</v>
      </c>
      <c r="Z772" t="n">
        <v>399</v>
      </c>
      <c r="AA772" t="n">
        <v>399</v>
      </c>
      <c r="AB772" t="n">
        <v>2</v>
      </c>
      <c r="AC772" t="n">
        <v>2</v>
      </c>
      <c r="AD772" t="n">
        <v>16</v>
      </c>
      <c r="AE772" t="n">
        <v>16</v>
      </c>
      <c r="AF772" t="n">
        <v>5</v>
      </c>
      <c r="AG772" t="n">
        <v>5</v>
      </c>
      <c r="AH772" t="n">
        <v>6</v>
      </c>
      <c r="AI772" t="n">
        <v>6</v>
      </c>
      <c r="AJ772" t="n">
        <v>9</v>
      </c>
      <c r="AK772" t="n">
        <v>9</v>
      </c>
      <c r="AL772" t="n">
        <v>1</v>
      </c>
      <c r="AM772" t="n">
        <v>1</v>
      </c>
      <c r="AN772" t="n">
        <v>0</v>
      </c>
      <c r="AO772" t="n">
        <v>0</v>
      </c>
      <c r="AP772" t="inlineStr">
        <is>
          <t>No</t>
        </is>
      </c>
      <c r="AQ772" t="inlineStr">
        <is>
          <t>No</t>
        </is>
      </c>
      <c r="AS772">
        <f>HYPERLINK("https://creighton-primo.hosted.exlibrisgroup.com/primo-explore/search?tab=default_tab&amp;search_scope=EVERYTHING&amp;vid=01CRU&amp;lang=en_US&amp;offset=0&amp;query=any,contains,991005212629702656","Catalog Record")</f>
        <v/>
      </c>
      <c r="AT772">
        <f>HYPERLINK("http://www.worldcat.org/oclc/8170639","WorldCat Record")</f>
        <v/>
      </c>
      <c r="AU772" t="inlineStr">
        <is>
          <t>896722305:eng</t>
        </is>
      </c>
      <c r="AV772" t="inlineStr">
        <is>
          <t>8170639</t>
        </is>
      </c>
      <c r="AW772" t="inlineStr">
        <is>
          <t>991005212629702656</t>
        </is>
      </c>
      <c r="AX772" t="inlineStr">
        <is>
          <t>991005212629702656</t>
        </is>
      </c>
      <c r="AY772" t="inlineStr">
        <is>
          <t>2256680140002656</t>
        </is>
      </c>
      <c r="AZ772" t="inlineStr">
        <is>
          <t>BOOK</t>
        </is>
      </c>
      <c r="BB772" t="inlineStr">
        <is>
          <t>9780231045988</t>
        </is>
      </c>
      <c r="BC772" t="inlineStr">
        <is>
          <t>32285002498193</t>
        </is>
      </c>
      <c r="BD772" t="inlineStr">
        <is>
          <t>893777037</t>
        </is>
      </c>
    </row>
    <row r="773">
      <c r="A773" t="inlineStr">
        <is>
          <t>No</t>
        </is>
      </c>
      <c r="B773" t="inlineStr">
        <is>
          <t>PL788.4.Z5 A3513 1996</t>
        </is>
      </c>
      <c r="C773" t="inlineStr">
        <is>
          <t>0                      PL 0788400Z  5                  A  3513        1996</t>
        </is>
      </c>
      <c r="D773" t="inlineStr">
        <is>
          <t>The diary of Lady Murasaki / translated and introduced by Richard Bowring.</t>
        </is>
      </c>
      <c r="F773" t="inlineStr">
        <is>
          <t>No</t>
        </is>
      </c>
      <c r="G773" t="inlineStr">
        <is>
          <t>1</t>
        </is>
      </c>
      <c r="H773" t="inlineStr">
        <is>
          <t>No</t>
        </is>
      </c>
      <c r="I773" t="inlineStr">
        <is>
          <t>No</t>
        </is>
      </c>
      <c r="J773" t="inlineStr">
        <is>
          <t>0</t>
        </is>
      </c>
      <c r="K773" t="inlineStr">
        <is>
          <t>Murasaki Shikibu, 978?-</t>
        </is>
      </c>
      <c r="L773" t="inlineStr">
        <is>
          <t>London ; New York N.Y. : Penguin, 1996.</t>
        </is>
      </c>
      <c r="M773" t="inlineStr">
        <is>
          <t>1996</t>
        </is>
      </c>
      <c r="O773" t="inlineStr">
        <is>
          <t>eng</t>
        </is>
      </c>
      <c r="P773" t="inlineStr">
        <is>
          <t>enk</t>
        </is>
      </c>
      <c r="Q773" t="inlineStr">
        <is>
          <t>Penguin classics</t>
        </is>
      </c>
      <c r="R773" t="inlineStr">
        <is>
          <t xml:space="preserve">PL </t>
        </is>
      </c>
      <c r="S773" t="n">
        <v>5</v>
      </c>
      <c r="T773" t="n">
        <v>5</v>
      </c>
      <c r="U773" t="inlineStr">
        <is>
          <t>1998-10-02</t>
        </is>
      </c>
      <c r="V773" t="inlineStr">
        <is>
          <t>1998-10-02</t>
        </is>
      </c>
      <c r="W773" t="inlineStr">
        <is>
          <t>1997-04-21</t>
        </is>
      </c>
      <c r="X773" t="inlineStr">
        <is>
          <t>1997-04-21</t>
        </is>
      </c>
      <c r="Y773" t="n">
        <v>318</v>
      </c>
      <c r="Z773" t="n">
        <v>243</v>
      </c>
      <c r="AA773" t="n">
        <v>334</v>
      </c>
      <c r="AB773" t="n">
        <v>3</v>
      </c>
      <c r="AC773" t="n">
        <v>4</v>
      </c>
      <c r="AD773" t="n">
        <v>15</v>
      </c>
      <c r="AE773" t="n">
        <v>18</v>
      </c>
      <c r="AF773" t="n">
        <v>7</v>
      </c>
      <c r="AG773" t="n">
        <v>8</v>
      </c>
      <c r="AH773" t="n">
        <v>5</v>
      </c>
      <c r="AI773" t="n">
        <v>5</v>
      </c>
      <c r="AJ773" t="n">
        <v>6</v>
      </c>
      <c r="AK773" t="n">
        <v>8</v>
      </c>
      <c r="AL773" t="n">
        <v>2</v>
      </c>
      <c r="AM773" t="n">
        <v>3</v>
      </c>
      <c r="AN773" t="n">
        <v>0</v>
      </c>
      <c r="AO773" t="n">
        <v>0</v>
      </c>
      <c r="AP773" t="inlineStr">
        <is>
          <t>No</t>
        </is>
      </c>
      <c r="AQ773" t="inlineStr">
        <is>
          <t>No</t>
        </is>
      </c>
      <c r="AS773">
        <f>HYPERLINK("https://creighton-primo.hosted.exlibrisgroup.com/primo-explore/search?tab=default_tab&amp;search_scope=EVERYTHING&amp;vid=01CRU&amp;lang=en_US&amp;offset=0&amp;query=any,contains,991002651649702656","Catalog Record")</f>
        <v/>
      </c>
      <c r="AT773">
        <f>HYPERLINK("http://www.worldcat.org/oclc/34676077","WorldCat Record")</f>
        <v/>
      </c>
      <c r="AU773" t="inlineStr">
        <is>
          <t>10678283698:eng</t>
        </is>
      </c>
      <c r="AV773" t="inlineStr">
        <is>
          <t>34676077</t>
        </is>
      </c>
      <c r="AW773" t="inlineStr">
        <is>
          <t>991002651649702656</t>
        </is>
      </c>
      <c r="AX773" t="inlineStr">
        <is>
          <t>991002651649702656</t>
        </is>
      </c>
      <c r="AY773" t="inlineStr">
        <is>
          <t>2264740160002656</t>
        </is>
      </c>
      <c r="AZ773" t="inlineStr">
        <is>
          <t>BOOK</t>
        </is>
      </c>
      <c r="BB773" t="inlineStr">
        <is>
          <t>9780140435764</t>
        </is>
      </c>
      <c r="BC773" t="inlineStr">
        <is>
          <t>32285002498797</t>
        </is>
      </c>
      <c r="BD773" t="inlineStr">
        <is>
          <t>893434117</t>
        </is>
      </c>
    </row>
    <row r="774">
      <c r="A774" t="inlineStr">
        <is>
          <t>No</t>
        </is>
      </c>
      <c r="B774" t="inlineStr">
        <is>
          <t>PL790.H4 E5 1988</t>
        </is>
      </c>
      <c r="C774" t="inlineStr">
        <is>
          <t>0                      PL 0790000H  4                  E  5           1988</t>
        </is>
      </c>
      <c r="D774" t="inlineStr">
        <is>
          <t>The tale of the Heike / translated, with an introduction, by Helen Craig McCullough.</t>
        </is>
      </c>
      <c r="F774" t="inlineStr">
        <is>
          <t>No</t>
        </is>
      </c>
      <c r="G774" t="inlineStr">
        <is>
          <t>1</t>
        </is>
      </c>
      <c r="H774" t="inlineStr">
        <is>
          <t>No</t>
        </is>
      </c>
      <c r="I774" t="inlineStr">
        <is>
          <t>No</t>
        </is>
      </c>
      <c r="J774" t="inlineStr">
        <is>
          <t>0</t>
        </is>
      </c>
      <c r="K774" t="inlineStr">
        <is>
          <t>Heike monogatari. English.</t>
        </is>
      </c>
      <c r="L774" t="inlineStr">
        <is>
          <t>Stanford, Calif. : Stanford University Press, 1988.</t>
        </is>
      </c>
      <c r="M774" t="inlineStr">
        <is>
          <t>1988</t>
        </is>
      </c>
      <c r="O774" t="inlineStr">
        <is>
          <t>eng</t>
        </is>
      </c>
      <c r="P774" t="inlineStr">
        <is>
          <t>cau</t>
        </is>
      </c>
      <c r="R774" t="inlineStr">
        <is>
          <t xml:space="preserve">PL </t>
        </is>
      </c>
      <c r="S774" t="n">
        <v>6</v>
      </c>
      <c r="T774" t="n">
        <v>6</v>
      </c>
      <c r="U774" t="inlineStr">
        <is>
          <t>2000-11-08</t>
        </is>
      </c>
      <c r="V774" t="inlineStr">
        <is>
          <t>2000-11-08</t>
        </is>
      </c>
      <c r="W774" t="inlineStr">
        <is>
          <t>1997-03-31</t>
        </is>
      </c>
      <c r="X774" t="inlineStr">
        <is>
          <t>1997-03-31</t>
        </is>
      </c>
      <c r="Y774" t="n">
        <v>554</v>
      </c>
      <c r="Z774" t="n">
        <v>452</v>
      </c>
      <c r="AA774" t="n">
        <v>457</v>
      </c>
      <c r="AB774" t="n">
        <v>3</v>
      </c>
      <c r="AC774" t="n">
        <v>3</v>
      </c>
      <c r="AD774" t="n">
        <v>24</v>
      </c>
      <c r="AE774" t="n">
        <v>24</v>
      </c>
      <c r="AF774" t="n">
        <v>11</v>
      </c>
      <c r="AG774" t="n">
        <v>11</v>
      </c>
      <c r="AH774" t="n">
        <v>5</v>
      </c>
      <c r="AI774" t="n">
        <v>5</v>
      </c>
      <c r="AJ774" t="n">
        <v>13</v>
      </c>
      <c r="AK774" t="n">
        <v>13</v>
      </c>
      <c r="AL774" t="n">
        <v>2</v>
      </c>
      <c r="AM774" t="n">
        <v>2</v>
      </c>
      <c r="AN774" t="n">
        <v>0</v>
      </c>
      <c r="AO774" t="n">
        <v>0</v>
      </c>
      <c r="AP774" t="inlineStr">
        <is>
          <t>No</t>
        </is>
      </c>
      <c r="AQ774" t="inlineStr">
        <is>
          <t>No</t>
        </is>
      </c>
      <c r="AS774">
        <f>HYPERLINK("https://creighton-primo.hosted.exlibrisgroup.com/primo-explore/search?tab=default_tab&amp;search_scope=EVERYTHING&amp;vid=01CRU&amp;lang=en_US&amp;offset=0&amp;query=any,contains,991001112579702656","Catalog Record")</f>
        <v/>
      </c>
      <c r="AT774">
        <f>HYPERLINK("http://www.worldcat.org/oclc/16472263","WorldCat Record")</f>
        <v/>
      </c>
      <c r="AU774" t="inlineStr">
        <is>
          <t>768161017:eng</t>
        </is>
      </c>
      <c r="AV774" t="inlineStr">
        <is>
          <t>16472263</t>
        </is>
      </c>
      <c r="AW774" t="inlineStr">
        <is>
          <t>991001112579702656</t>
        </is>
      </c>
      <c r="AX774" t="inlineStr">
        <is>
          <t>991001112579702656</t>
        </is>
      </c>
      <c r="AY774" t="inlineStr">
        <is>
          <t>2262514710002656</t>
        </is>
      </c>
      <c r="AZ774" t="inlineStr">
        <is>
          <t>BOOK</t>
        </is>
      </c>
      <c r="BB774" t="inlineStr">
        <is>
          <t>9780804714181</t>
        </is>
      </c>
      <c r="BC774" t="inlineStr">
        <is>
          <t>32285002476892</t>
        </is>
      </c>
      <c r="BD774" t="inlineStr">
        <is>
          <t>893891319</t>
        </is>
      </c>
    </row>
    <row r="775">
      <c r="A775" t="inlineStr">
        <is>
          <t>No</t>
        </is>
      </c>
      <c r="B775" t="inlineStr">
        <is>
          <t>PL790.H4 K5</t>
        </is>
      </c>
      <c r="C775" t="inlineStr">
        <is>
          <t>0                      PL 0790000H  4                  K  5</t>
        </is>
      </c>
      <c r="D775" t="inlineStr">
        <is>
          <t>The tale of the Heike = Heike monogatari / translated by Hiroshi Kitagawa, Bruce T. Tsuchida ; with a foreword by Edward Seidensticker.</t>
        </is>
      </c>
      <c r="E775" t="inlineStr">
        <is>
          <t>V.1</t>
        </is>
      </c>
      <c r="F775" t="inlineStr">
        <is>
          <t>Yes</t>
        </is>
      </c>
      <c r="G775" t="inlineStr">
        <is>
          <t>2</t>
        </is>
      </c>
      <c r="H775" t="inlineStr">
        <is>
          <t>No</t>
        </is>
      </c>
      <c r="I775" t="inlineStr">
        <is>
          <t>No</t>
        </is>
      </c>
      <c r="J775" t="inlineStr">
        <is>
          <t>0</t>
        </is>
      </c>
      <c r="K775" t="inlineStr">
        <is>
          <t>Heike monogatari. English.</t>
        </is>
      </c>
      <c r="L775" t="inlineStr">
        <is>
          <t>[Tokyo] : University of Tokyo Press, c1975, 1977 printing.</t>
        </is>
      </c>
      <c r="M775" t="inlineStr">
        <is>
          <t>1975</t>
        </is>
      </c>
      <c r="O775" t="inlineStr">
        <is>
          <t>eng</t>
        </is>
      </c>
      <c r="P775" t="inlineStr">
        <is>
          <t xml:space="preserve">ja </t>
        </is>
      </c>
      <c r="R775" t="inlineStr">
        <is>
          <t xml:space="preserve">PL </t>
        </is>
      </c>
      <c r="S775" t="n">
        <v>1</v>
      </c>
      <c r="T775" t="n">
        <v>2</v>
      </c>
      <c r="U775" t="inlineStr">
        <is>
          <t>2005-02-07</t>
        </is>
      </c>
      <c r="V775" t="inlineStr">
        <is>
          <t>2005-02-07</t>
        </is>
      </c>
      <c r="W775" t="inlineStr">
        <is>
          <t>1993-05-04</t>
        </is>
      </c>
      <c r="X775" t="inlineStr">
        <is>
          <t>1993-05-04</t>
        </is>
      </c>
      <c r="Y775" t="n">
        <v>431</v>
      </c>
      <c r="Z775" t="n">
        <v>338</v>
      </c>
      <c r="AA775" t="n">
        <v>340</v>
      </c>
      <c r="AB775" t="n">
        <v>2</v>
      </c>
      <c r="AC775" t="n">
        <v>2</v>
      </c>
      <c r="AD775" t="n">
        <v>15</v>
      </c>
      <c r="AE775" t="n">
        <v>15</v>
      </c>
      <c r="AF775" t="n">
        <v>6</v>
      </c>
      <c r="AG775" t="n">
        <v>6</v>
      </c>
      <c r="AH775" t="n">
        <v>5</v>
      </c>
      <c r="AI775" t="n">
        <v>5</v>
      </c>
      <c r="AJ775" t="n">
        <v>9</v>
      </c>
      <c r="AK775" t="n">
        <v>9</v>
      </c>
      <c r="AL775" t="n">
        <v>1</v>
      </c>
      <c r="AM775" t="n">
        <v>1</v>
      </c>
      <c r="AN775" t="n">
        <v>0</v>
      </c>
      <c r="AO775" t="n">
        <v>0</v>
      </c>
      <c r="AP775" t="inlineStr">
        <is>
          <t>No</t>
        </is>
      </c>
      <c r="AQ775" t="inlineStr">
        <is>
          <t>Yes</t>
        </is>
      </c>
      <c r="AR775">
        <f>HYPERLINK("http://catalog.hathitrust.org/Record/001184796","HathiTrust Record")</f>
        <v/>
      </c>
      <c r="AS775">
        <f>HYPERLINK("https://creighton-primo.hosted.exlibrisgroup.com/primo-explore/search?tab=default_tab&amp;search_scope=EVERYTHING&amp;vid=01CRU&amp;lang=en_US&amp;offset=0&amp;query=any,contains,991003868279702656","Catalog Record")</f>
        <v/>
      </c>
      <c r="AT775">
        <f>HYPERLINK("http://www.worldcat.org/oclc/1684591","WorldCat Record")</f>
        <v/>
      </c>
      <c r="AU775" t="inlineStr">
        <is>
          <t>5609337774:eng</t>
        </is>
      </c>
      <c r="AV775" t="inlineStr">
        <is>
          <t>1684591</t>
        </is>
      </c>
      <c r="AW775" t="inlineStr">
        <is>
          <t>991003868279702656</t>
        </is>
      </c>
      <c r="AX775" t="inlineStr">
        <is>
          <t>991003868279702656</t>
        </is>
      </c>
      <c r="AY775" t="inlineStr">
        <is>
          <t>2272804570002656</t>
        </is>
      </c>
      <c r="AZ775" t="inlineStr">
        <is>
          <t>BOOK</t>
        </is>
      </c>
      <c r="BB775" t="inlineStr">
        <is>
          <t>9780860081289</t>
        </is>
      </c>
      <c r="BC775" t="inlineStr">
        <is>
          <t>32285001671758</t>
        </is>
      </c>
      <c r="BD775" t="inlineStr">
        <is>
          <t>893499806</t>
        </is>
      </c>
    </row>
    <row r="776">
      <c r="A776" t="inlineStr">
        <is>
          <t>No</t>
        </is>
      </c>
      <c r="B776" t="inlineStr">
        <is>
          <t>PL790.H4 K5</t>
        </is>
      </c>
      <c r="C776" t="inlineStr">
        <is>
          <t>0                      PL 0790000H  4                  K  5</t>
        </is>
      </c>
      <c r="D776" t="inlineStr">
        <is>
          <t>The tale of the Heike = Heike monogatari / translated by Hiroshi Kitagawa, Bruce T. Tsuchida ; with a foreword by Edward Seidensticker.</t>
        </is>
      </c>
      <c r="E776" t="inlineStr">
        <is>
          <t>V.2</t>
        </is>
      </c>
      <c r="F776" t="inlineStr">
        <is>
          <t>Yes</t>
        </is>
      </c>
      <c r="G776" t="inlineStr">
        <is>
          <t>2</t>
        </is>
      </c>
      <c r="H776" t="inlineStr">
        <is>
          <t>No</t>
        </is>
      </c>
      <c r="I776" t="inlineStr">
        <is>
          <t>No</t>
        </is>
      </c>
      <c r="J776" t="inlineStr">
        <is>
          <t>0</t>
        </is>
      </c>
      <c r="K776" t="inlineStr">
        <is>
          <t>Heike monogatari. English.</t>
        </is>
      </c>
      <c r="L776" t="inlineStr">
        <is>
          <t>[Tokyo] : University of Tokyo Press, c1975, 1977 printing.</t>
        </is>
      </c>
      <c r="M776" t="inlineStr">
        <is>
          <t>1975</t>
        </is>
      </c>
      <c r="O776" t="inlineStr">
        <is>
          <t>eng</t>
        </is>
      </c>
      <c r="P776" t="inlineStr">
        <is>
          <t xml:space="preserve">ja </t>
        </is>
      </c>
      <c r="R776" t="inlineStr">
        <is>
          <t xml:space="preserve">PL </t>
        </is>
      </c>
      <c r="S776" t="n">
        <v>1</v>
      </c>
      <c r="T776" t="n">
        <v>2</v>
      </c>
      <c r="U776" t="inlineStr">
        <is>
          <t>2005-02-07</t>
        </is>
      </c>
      <c r="V776" t="inlineStr">
        <is>
          <t>2005-02-07</t>
        </is>
      </c>
      <c r="W776" t="inlineStr">
        <is>
          <t>1993-05-04</t>
        </is>
      </c>
      <c r="X776" t="inlineStr">
        <is>
          <t>1993-05-04</t>
        </is>
      </c>
      <c r="Y776" t="n">
        <v>431</v>
      </c>
      <c r="Z776" t="n">
        <v>338</v>
      </c>
      <c r="AA776" t="n">
        <v>340</v>
      </c>
      <c r="AB776" t="n">
        <v>2</v>
      </c>
      <c r="AC776" t="n">
        <v>2</v>
      </c>
      <c r="AD776" t="n">
        <v>15</v>
      </c>
      <c r="AE776" t="n">
        <v>15</v>
      </c>
      <c r="AF776" t="n">
        <v>6</v>
      </c>
      <c r="AG776" t="n">
        <v>6</v>
      </c>
      <c r="AH776" t="n">
        <v>5</v>
      </c>
      <c r="AI776" t="n">
        <v>5</v>
      </c>
      <c r="AJ776" t="n">
        <v>9</v>
      </c>
      <c r="AK776" t="n">
        <v>9</v>
      </c>
      <c r="AL776" t="n">
        <v>1</v>
      </c>
      <c r="AM776" t="n">
        <v>1</v>
      </c>
      <c r="AN776" t="n">
        <v>0</v>
      </c>
      <c r="AO776" t="n">
        <v>0</v>
      </c>
      <c r="AP776" t="inlineStr">
        <is>
          <t>No</t>
        </is>
      </c>
      <c r="AQ776" t="inlineStr">
        <is>
          <t>Yes</t>
        </is>
      </c>
      <c r="AR776">
        <f>HYPERLINK("http://catalog.hathitrust.org/Record/001184796","HathiTrust Record")</f>
        <v/>
      </c>
      <c r="AS776">
        <f>HYPERLINK("https://creighton-primo.hosted.exlibrisgroup.com/primo-explore/search?tab=default_tab&amp;search_scope=EVERYTHING&amp;vid=01CRU&amp;lang=en_US&amp;offset=0&amp;query=any,contains,991003868279702656","Catalog Record")</f>
        <v/>
      </c>
      <c r="AT776">
        <f>HYPERLINK("http://www.worldcat.org/oclc/1684591","WorldCat Record")</f>
        <v/>
      </c>
      <c r="AU776" t="inlineStr">
        <is>
          <t>5609337774:eng</t>
        </is>
      </c>
      <c r="AV776" t="inlineStr">
        <is>
          <t>1684591</t>
        </is>
      </c>
      <c r="AW776" t="inlineStr">
        <is>
          <t>991003868279702656</t>
        </is>
      </c>
      <c r="AX776" t="inlineStr">
        <is>
          <t>991003868279702656</t>
        </is>
      </c>
      <c r="AY776" t="inlineStr">
        <is>
          <t>2272804570002656</t>
        </is>
      </c>
      <c r="AZ776" t="inlineStr">
        <is>
          <t>BOOK</t>
        </is>
      </c>
      <c r="BB776" t="inlineStr">
        <is>
          <t>9780860081289</t>
        </is>
      </c>
      <c r="BC776" t="inlineStr">
        <is>
          <t>32285001671774</t>
        </is>
      </c>
      <c r="BD776" t="inlineStr">
        <is>
          <t>893531699</t>
        </is>
      </c>
    </row>
    <row r="777">
      <c r="A777" t="inlineStr">
        <is>
          <t>No</t>
        </is>
      </c>
      <c r="B777" t="inlineStr">
        <is>
          <t>PL790.T3 E5 1979</t>
        </is>
      </c>
      <c r="C777" t="inlineStr">
        <is>
          <t>0                      PL 0790000T  3                  E  5           1979</t>
        </is>
      </c>
      <c r="D777" t="inlineStr">
        <is>
          <t>The Taiheiki : a chronicle of medieval Japan / translated, with an introd. and notes, by Helen Craig McCullough.</t>
        </is>
      </c>
      <c r="F777" t="inlineStr">
        <is>
          <t>No</t>
        </is>
      </c>
      <c r="G777" t="inlineStr">
        <is>
          <t>1</t>
        </is>
      </c>
      <c r="H777" t="inlineStr">
        <is>
          <t>No</t>
        </is>
      </c>
      <c r="I777" t="inlineStr">
        <is>
          <t>No</t>
        </is>
      </c>
      <c r="J777" t="inlineStr">
        <is>
          <t>0</t>
        </is>
      </c>
      <c r="K777" t="inlineStr">
        <is>
          <t>Taiheiki. English.</t>
        </is>
      </c>
      <c r="L777" t="inlineStr">
        <is>
          <t>Rutland, Vt. : C. E. Tuttle, 1979, c1959.</t>
        </is>
      </c>
      <c r="M777" t="inlineStr">
        <is>
          <t>1979</t>
        </is>
      </c>
      <c r="N777" t="inlineStr">
        <is>
          <t>1st. Tuttle ed.</t>
        </is>
      </c>
      <c r="O777" t="inlineStr">
        <is>
          <t>eng</t>
        </is>
      </c>
      <c r="P777" t="inlineStr">
        <is>
          <t>vtu</t>
        </is>
      </c>
      <c r="R777" t="inlineStr">
        <is>
          <t xml:space="preserve">PL </t>
        </is>
      </c>
      <c r="S777" t="n">
        <v>8</v>
      </c>
      <c r="T777" t="n">
        <v>8</v>
      </c>
      <c r="U777" t="inlineStr">
        <is>
          <t>2005-06-17</t>
        </is>
      </c>
      <c r="V777" t="inlineStr">
        <is>
          <t>2005-06-17</t>
        </is>
      </c>
      <c r="W777" t="inlineStr">
        <is>
          <t>1993-05-04</t>
        </is>
      </c>
      <c r="X777" t="inlineStr">
        <is>
          <t>1993-05-04</t>
        </is>
      </c>
      <c r="Y777" t="n">
        <v>85</v>
      </c>
      <c r="Z777" t="n">
        <v>57</v>
      </c>
      <c r="AA777" t="n">
        <v>700</v>
      </c>
      <c r="AB777" t="n">
        <v>3</v>
      </c>
      <c r="AC777" t="n">
        <v>6</v>
      </c>
      <c r="AD777" t="n">
        <v>8</v>
      </c>
      <c r="AE777" t="n">
        <v>44</v>
      </c>
      <c r="AF777" t="n">
        <v>4</v>
      </c>
      <c r="AG777" t="n">
        <v>18</v>
      </c>
      <c r="AH777" t="n">
        <v>0</v>
      </c>
      <c r="AI777" t="n">
        <v>10</v>
      </c>
      <c r="AJ777" t="n">
        <v>4</v>
      </c>
      <c r="AK777" t="n">
        <v>22</v>
      </c>
      <c r="AL777" t="n">
        <v>2</v>
      </c>
      <c r="AM777" t="n">
        <v>5</v>
      </c>
      <c r="AN777" t="n">
        <v>0</v>
      </c>
      <c r="AO777" t="n">
        <v>0</v>
      </c>
      <c r="AP777" t="inlineStr">
        <is>
          <t>No</t>
        </is>
      </c>
      <c r="AQ777" t="inlineStr">
        <is>
          <t>No</t>
        </is>
      </c>
      <c r="AS777">
        <f>HYPERLINK("https://creighton-primo.hosted.exlibrisgroup.com/primo-explore/search?tab=default_tab&amp;search_scope=EVERYTHING&amp;vid=01CRU&amp;lang=en_US&amp;offset=0&amp;query=any,contains,991005160869702656","Catalog Record")</f>
        <v/>
      </c>
      <c r="AT777">
        <f>HYPERLINK("http://www.worldcat.org/oclc/7788067","WorldCat Record")</f>
        <v/>
      </c>
      <c r="AU777" t="inlineStr">
        <is>
          <t>3943296135:eng</t>
        </is>
      </c>
      <c r="AV777" t="inlineStr">
        <is>
          <t>7788067</t>
        </is>
      </c>
      <c r="AW777" t="inlineStr">
        <is>
          <t>991005160869702656</t>
        </is>
      </c>
      <c r="AX777" t="inlineStr">
        <is>
          <t>991005160869702656</t>
        </is>
      </c>
      <c r="AY777" t="inlineStr">
        <is>
          <t>2272331930002656</t>
        </is>
      </c>
      <c r="AZ777" t="inlineStr">
        <is>
          <t>BOOK</t>
        </is>
      </c>
      <c r="BB777" t="inlineStr">
        <is>
          <t>9780804813228</t>
        </is>
      </c>
      <c r="BC777" t="inlineStr">
        <is>
          <t>32285001671782</t>
        </is>
      </c>
      <c r="BD777" t="inlineStr">
        <is>
          <t>893801836</t>
        </is>
      </c>
    </row>
    <row r="778">
      <c r="A778" t="inlineStr">
        <is>
          <t>No</t>
        </is>
      </c>
      <c r="B778" t="inlineStr">
        <is>
          <t>PL791.2.H6 E5 1970</t>
        </is>
      </c>
      <c r="C778" t="inlineStr">
        <is>
          <t>0                      PL 0791200H  6                  E  5           1970</t>
        </is>
      </c>
      <c r="D778" t="inlineStr">
        <is>
          <t>The ten foot square hut, and Tales of the Heike; being two thirteenth century Japanese classics, "The Hojoki" and selections from "The Heike monogatari." Translated by A. L. Sadler.</t>
        </is>
      </c>
      <c r="F778" t="inlineStr">
        <is>
          <t>No</t>
        </is>
      </c>
      <c r="G778" t="inlineStr">
        <is>
          <t>1</t>
        </is>
      </c>
      <c r="H778" t="inlineStr">
        <is>
          <t>No</t>
        </is>
      </c>
      <c r="I778" t="inlineStr">
        <is>
          <t>No</t>
        </is>
      </c>
      <c r="J778" t="inlineStr">
        <is>
          <t>0</t>
        </is>
      </c>
      <c r="K778" t="inlineStr">
        <is>
          <t>Kamo, Chōmei, 1153?-1216?</t>
        </is>
      </c>
      <c r="L778" t="inlineStr">
        <is>
          <t>Westport, Conn., Greenwood Press [1970]</t>
        </is>
      </c>
      <c r="M778" t="inlineStr">
        <is>
          <t>1970</t>
        </is>
      </c>
      <c r="O778" t="inlineStr">
        <is>
          <t>eng</t>
        </is>
      </c>
      <c r="P778" t="inlineStr">
        <is>
          <t>ctu</t>
        </is>
      </c>
      <c r="R778" t="inlineStr">
        <is>
          <t xml:space="preserve">PL </t>
        </is>
      </c>
      <c r="S778" t="n">
        <v>4</v>
      </c>
      <c r="T778" t="n">
        <v>4</v>
      </c>
      <c r="U778" t="inlineStr">
        <is>
          <t>1999-03-18</t>
        </is>
      </c>
      <c r="V778" t="inlineStr">
        <is>
          <t>1999-03-18</t>
        </is>
      </c>
      <c r="W778" t="inlineStr">
        <is>
          <t>1997-09-16</t>
        </is>
      </c>
      <c r="X778" t="inlineStr">
        <is>
          <t>1997-09-16</t>
        </is>
      </c>
      <c r="Y778" t="n">
        <v>283</v>
      </c>
      <c r="Z778" t="n">
        <v>247</v>
      </c>
      <c r="AA778" t="n">
        <v>250</v>
      </c>
      <c r="AB778" t="n">
        <v>2</v>
      </c>
      <c r="AC778" t="n">
        <v>2</v>
      </c>
      <c r="AD778" t="n">
        <v>10</v>
      </c>
      <c r="AE778" t="n">
        <v>10</v>
      </c>
      <c r="AF778" t="n">
        <v>4</v>
      </c>
      <c r="AG778" t="n">
        <v>4</v>
      </c>
      <c r="AH778" t="n">
        <v>3</v>
      </c>
      <c r="AI778" t="n">
        <v>3</v>
      </c>
      <c r="AJ778" t="n">
        <v>4</v>
      </c>
      <c r="AK778" t="n">
        <v>4</v>
      </c>
      <c r="AL778" t="n">
        <v>1</v>
      </c>
      <c r="AM778" t="n">
        <v>1</v>
      </c>
      <c r="AN778" t="n">
        <v>0</v>
      </c>
      <c r="AO778" t="n">
        <v>0</v>
      </c>
      <c r="AP778" t="inlineStr">
        <is>
          <t>No</t>
        </is>
      </c>
      <c r="AQ778" t="inlineStr">
        <is>
          <t>Yes</t>
        </is>
      </c>
      <c r="AR778">
        <f>HYPERLINK("http://catalog.hathitrust.org/Record/000001008","HathiTrust Record")</f>
        <v/>
      </c>
      <c r="AS778">
        <f>HYPERLINK("https://creighton-primo.hosted.exlibrisgroup.com/primo-explore/search?tab=default_tab&amp;search_scope=EVERYTHING&amp;vid=01CRU&amp;lang=en_US&amp;offset=0&amp;query=any,contains,991000501769702656","Catalog Record")</f>
        <v/>
      </c>
      <c r="AT778">
        <f>HYPERLINK("http://www.worldcat.org/oclc/81614","WorldCat Record")</f>
        <v/>
      </c>
      <c r="AU778" t="inlineStr">
        <is>
          <t>10252427582:eng</t>
        </is>
      </c>
      <c r="AV778" t="inlineStr">
        <is>
          <t>81614</t>
        </is>
      </c>
      <c r="AW778" t="inlineStr">
        <is>
          <t>991000501769702656</t>
        </is>
      </c>
      <c r="AX778" t="inlineStr">
        <is>
          <t>991000501769702656</t>
        </is>
      </c>
      <c r="AY778" t="inlineStr">
        <is>
          <t>2272167610002656</t>
        </is>
      </c>
      <c r="AZ778" t="inlineStr">
        <is>
          <t>BOOK</t>
        </is>
      </c>
      <c r="BB778" t="inlineStr">
        <is>
          <t>9780837131146</t>
        </is>
      </c>
      <c r="BC778" t="inlineStr">
        <is>
          <t>32285003224358</t>
        </is>
      </c>
      <c r="BD778" t="inlineStr">
        <is>
          <t>893515320</t>
        </is>
      </c>
    </row>
    <row r="779">
      <c r="A779" t="inlineStr">
        <is>
          <t>No</t>
        </is>
      </c>
      <c r="B779" t="inlineStr">
        <is>
          <t>PL791.6.T7 E48</t>
        </is>
      </c>
      <c r="C779" t="inlineStr">
        <is>
          <t>0                      PL 0791600T  7                  E  48</t>
        </is>
      </c>
      <c r="D779" t="inlineStr">
        <is>
          <t>Essays in idleness; the Tsurezuregusa of Kenkō. Translated by Donald Keene.</t>
        </is>
      </c>
      <c r="F779" t="inlineStr">
        <is>
          <t>No</t>
        </is>
      </c>
      <c r="G779" t="inlineStr">
        <is>
          <t>1</t>
        </is>
      </c>
      <c r="H779" t="inlineStr">
        <is>
          <t>No</t>
        </is>
      </c>
      <c r="I779" t="inlineStr">
        <is>
          <t>Yes</t>
        </is>
      </c>
      <c r="J779" t="inlineStr">
        <is>
          <t>0</t>
        </is>
      </c>
      <c r="K779" t="inlineStr">
        <is>
          <t>Yoshida, Kenkō, 1282?-1350.</t>
        </is>
      </c>
      <c r="L779" t="inlineStr">
        <is>
          <t>New York, Columbia University Press, 1967.</t>
        </is>
      </c>
      <c r="M779" t="inlineStr">
        <is>
          <t>1967</t>
        </is>
      </c>
      <c r="O779" t="inlineStr">
        <is>
          <t>eng</t>
        </is>
      </c>
      <c r="P779" t="inlineStr">
        <is>
          <t>nyu</t>
        </is>
      </c>
      <c r="Q779" t="inlineStr">
        <is>
          <t>Records of civilization, sources and studies ; no. 78</t>
        </is>
      </c>
      <c r="R779" t="inlineStr">
        <is>
          <t xml:space="preserve">PL </t>
        </is>
      </c>
      <c r="S779" t="n">
        <v>3</v>
      </c>
      <c r="T779" t="n">
        <v>3</v>
      </c>
      <c r="U779" t="inlineStr">
        <is>
          <t>2002-06-18</t>
        </is>
      </c>
      <c r="V779" t="inlineStr">
        <is>
          <t>2002-06-18</t>
        </is>
      </c>
      <c r="W779" t="inlineStr">
        <is>
          <t>1997-09-16</t>
        </is>
      </c>
      <c r="X779" t="inlineStr">
        <is>
          <t>1997-09-16</t>
        </is>
      </c>
      <c r="Y779" t="n">
        <v>741</v>
      </c>
      <c r="Z779" t="n">
        <v>639</v>
      </c>
      <c r="AA779" t="n">
        <v>915</v>
      </c>
      <c r="AB779" t="n">
        <v>4</v>
      </c>
      <c r="AC779" t="n">
        <v>6</v>
      </c>
      <c r="AD779" t="n">
        <v>28</v>
      </c>
      <c r="AE779" t="n">
        <v>41</v>
      </c>
      <c r="AF779" t="n">
        <v>8</v>
      </c>
      <c r="AG779" t="n">
        <v>15</v>
      </c>
      <c r="AH779" t="n">
        <v>8</v>
      </c>
      <c r="AI779" t="n">
        <v>10</v>
      </c>
      <c r="AJ779" t="n">
        <v>16</v>
      </c>
      <c r="AK779" t="n">
        <v>22</v>
      </c>
      <c r="AL779" t="n">
        <v>3</v>
      </c>
      <c r="AM779" t="n">
        <v>5</v>
      </c>
      <c r="AN779" t="n">
        <v>0</v>
      </c>
      <c r="AO779" t="n">
        <v>0</v>
      </c>
      <c r="AP779" t="inlineStr">
        <is>
          <t>No</t>
        </is>
      </c>
      <c r="AQ779" t="inlineStr">
        <is>
          <t>Yes</t>
        </is>
      </c>
      <c r="AR779">
        <f>HYPERLINK("http://catalog.hathitrust.org/Record/001184800","HathiTrust Record")</f>
        <v/>
      </c>
      <c r="AS779">
        <f>HYPERLINK("https://creighton-primo.hosted.exlibrisgroup.com/primo-explore/search?tab=default_tab&amp;search_scope=EVERYTHING&amp;vid=01CRU&amp;lang=en_US&amp;offset=0&amp;query=any,contains,991003107639702656","Catalog Record")</f>
        <v/>
      </c>
      <c r="AT779">
        <f>HYPERLINK("http://www.worldcat.org/oclc/654922","WorldCat Record")</f>
        <v/>
      </c>
      <c r="AU779" t="inlineStr">
        <is>
          <t>4495051775:eng</t>
        </is>
      </c>
      <c r="AV779" t="inlineStr">
        <is>
          <t>654922</t>
        </is>
      </c>
      <c r="AW779" t="inlineStr">
        <is>
          <t>991003107639702656</t>
        </is>
      </c>
      <c r="AX779" t="inlineStr">
        <is>
          <t>991003107639702656</t>
        </is>
      </c>
      <c r="AY779" t="inlineStr">
        <is>
          <t>2262119620002656</t>
        </is>
      </c>
      <c r="AZ779" t="inlineStr">
        <is>
          <t>BOOK</t>
        </is>
      </c>
      <c r="BC779" t="inlineStr">
        <is>
          <t>32285003224366</t>
        </is>
      </c>
      <c r="BD779" t="inlineStr">
        <is>
          <t>893774400</t>
        </is>
      </c>
    </row>
    <row r="780">
      <c r="A780" t="inlineStr">
        <is>
          <t>No</t>
        </is>
      </c>
      <c r="B780" t="inlineStr">
        <is>
          <t>PL791.6.T7 E54 1974</t>
        </is>
      </c>
      <c r="C780" t="inlineStr">
        <is>
          <t>0                      PL 0791600T  7                  E  54          1974</t>
        </is>
      </c>
      <c r="D780" t="inlineStr">
        <is>
          <t>The miscellany of a Japanese priest, being a translation of Tsure-zure gusa / Translated from the Japanese by William N. Porter. With an introd. by Sanki Ichikawa.</t>
        </is>
      </c>
      <c r="F780" t="inlineStr">
        <is>
          <t>No</t>
        </is>
      </c>
      <c r="G780" t="inlineStr">
        <is>
          <t>1</t>
        </is>
      </c>
      <c r="H780" t="inlineStr">
        <is>
          <t>No</t>
        </is>
      </c>
      <c r="I780" t="inlineStr">
        <is>
          <t>Yes</t>
        </is>
      </c>
      <c r="J780" t="inlineStr">
        <is>
          <t>0</t>
        </is>
      </c>
      <c r="K780" t="inlineStr">
        <is>
          <t>Yoshida, Kenkō, 1282?-1350.</t>
        </is>
      </c>
      <c r="L780" t="inlineStr">
        <is>
          <t>Rutland, Vt. : C. E. Tuttle Co., c1974, 1980 printing.</t>
        </is>
      </c>
      <c r="M780" t="inlineStr">
        <is>
          <t>1974</t>
        </is>
      </c>
      <c r="O780" t="inlineStr">
        <is>
          <t>eng</t>
        </is>
      </c>
      <c r="P780" t="inlineStr">
        <is>
          <t>vtu</t>
        </is>
      </c>
      <c r="Q780" t="inlineStr">
        <is>
          <t>Tut books. L</t>
        </is>
      </c>
      <c r="R780" t="inlineStr">
        <is>
          <t xml:space="preserve">PL </t>
        </is>
      </c>
      <c r="S780" t="n">
        <v>6</v>
      </c>
      <c r="T780" t="n">
        <v>6</v>
      </c>
      <c r="U780" t="inlineStr">
        <is>
          <t>2008-06-08</t>
        </is>
      </c>
      <c r="V780" t="inlineStr">
        <is>
          <t>2008-06-08</t>
        </is>
      </c>
      <c r="W780" t="inlineStr">
        <is>
          <t>1993-05-04</t>
        </is>
      </c>
      <c r="X780" t="inlineStr">
        <is>
          <t>1993-05-04</t>
        </is>
      </c>
      <c r="Y780" t="n">
        <v>113</v>
      </c>
      <c r="Z780" t="n">
        <v>84</v>
      </c>
      <c r="AA780" t="n">
        <v>915</v>
      </c>
      <c r="AB780" t="n">
        <v>1</v>
      </c>
      <c r="AC780" t="n">
        <v>6</v>
      </c>
      <c r="AD780" t="n">
        <v>7</v>
      </c>
      <c r="AE780" t="n">
        <v>41</v>
      </c>
      <c r="AF780" t="n">
        <v>3</v>
      </c>
      <c r="AG780" t="n">
        <v>15</v>
      </c>
      <c r="AH780" t="n">
        <v>2</v>
      </c>
      <c r="AI780" t="n">
        <v>10</v>
      </c>
      <c r="AJ780" t="n">
        <v>5</v>
      </c>
      <c r="AK780" t="n">
        <v>22</v>
      </c>
      <c r="AL780" t="n">
        <v>0</v>
      </c>
      <c r="AM780" t="n">
        <v>5</v>
      </c>
      <c r="AN780" t="n">
        <v>0</v>
      </c>
      <c r="AO780" t="n">
        <v>0</v>
      </c>
      <c r="AP780" t="inlineStr">
        <is>
          <t>No</t>
        </is>
      </c>
      <c r="AQ780" t="inlineStr">
        <is>
          <t>Yes</t>
        </is>
      </c>
      <c r="AR780">
        <f>HYPERLINK("http://catalog.hathitrust.org/Record/009493219","HathiTrust Record")</f>
        <v/>
      </c>
      <c r="AS780">
        <f>HYPERLINK("https://creighton-primo.hosted.exlibrisgroup.com/primo-explore/search?tab=default_tab&amp;search_scope=EVERYTHING&amp;vid=01CRU&amp;lang=en_US&amp;offset=0&amp;query=any,contains,991003334929702656","Catalog Record")</f>
        <v/>
      </c>
      <c r="AT780">
        <f>HYPERLINK("http://www.worldcat.org/oclc/866232","WorldCat Record")</f>
        <v/>
      </c>
      <c r="AU780" t="inlineStr">
        <is>
          <t>4495051775:eng</t>
        </is>
      </c>
      <c r="AV780" t="inlineStr">
        <is>
          <t>866232</t>
        </is>
      </c>
      <c r="AW780" t="inlineStr">
        <is>
          <t>991003334929702656</t>
        </is>
      </c>
      <c r="AX780" t="inlineStr">
        <is>
          <t>991003334929702656</t>
        </is>
      </c>
      <c r="AY780" t="inlineStr">
        <is>
          <t>2262807640002656</t>
        </is>
      </c>
      <c r="AZ780" t="inlineStr">
        <is>
          <t>BOOK</t>
        </is>
      </c>
      <c r="BB780" t="inlineStr">
        <is>
          <t>9780804811194</t>
        </is>
      </c>
      <c r="BC780" t="inlineStr">
        <is>
          <t>32285001671790</t>
        </is>
      </c>
      <c r="BD780" t="inlineStr">
        <is>
          <t>893868312</t>
        </is>
      </c>
    </row>
    <row r="781">
      <c r="A781" t="inlineStr">
        <is>
          <t>No</t>
        </is>
      </c>
      <c r="B781" t="inlineStr">
        <is>
          <t>PL792.N3 Z5213 1974</t>
        </is>
      </c>
      <c r="C781" t="inlineStr">
        <is>
          <t>0                      PL 0792000N  3                  Z  5213        1974</t>
        </is>
      </c>
      <c r="D781" t="inlineStr">
        <is>
          <t>Lady Nijo's own story : Towazu-gatari: the candid diary of a thirteenth-century Japanese imperial concubine / Translated by Wilfrid Whitehouse &amp; Eizo Yanagisawa.</t>
        </is>
      </c>
      <c r="F781" t="inlineStr">
        <is>
          <t>No</t>
        </is>
      </c>
      <c r="G781" t="inlineStr">
        <is>
          <t>1</t>
        </is>
      </c>
      <c r="H781" t="inlineStr">
        <is>
          <t>No</t>
        </is>
      </c>
      <c r="I781" t="inlineStr">
        <is>
          <t>No</t>
        </is>
      </c>
      <c r="J781" t="inlineStr">
        <is>
          <t>0</t>
        </is>
      </c>
      <c r="K781" t="inlineStr">
        <is>
          <t>Nakanoin Masatada no Musume, 1258-</t>
        </is>
      </c>
      <c r="L781" t="inlineStr">
        <is>
          <t>Rutland, Vt. : Tuttle, 1974.</t>
        </is>
      </c>
      <c r="M781" t="inlineStr">
        <is>
          <t>1974</t>
        </is>
      </c>
      <c r="O781" t="inlineStr">
        <is>
          <t>eng</t>
        </is>
      </c>
      <c r="P781" t="inlineStr">
        <is>
          <t>vtu</t>
        </is>
      </c>
      <c r="R781" t="inlineStr">
        <is>
          <t xml:space="preserve">PL </t>
        </is>
      </c>
      <c r="S781" t="n">
        <v>9</v>
      </c>
      <c r="T781" t="n">
        <v>9</v>
      </c>
      <c r="U781" t="inlineStr">
        <is>
          <t>1999-03-16</t>
        </is>
      </c>
      <c r="V781" t="inlineStr">
        <is>
          <t>1999-03-16</t>
        </is>
      </c>
      <c r="W781" t="inlineStr">
        <is>
          <t>1993-05-04</t>
        </is>
      </c>
      <c r="X781" t="inlineStr">
        <is>
          <t>1993-05-04</t>
        </is>
      </c>
      <c r="Y781" t="n">
        <v>363</v>
      </c>
      <c r="Z781" t="n">
        <v>305</v>
      </c>
      <c r="AA781" t="n">
        <v>822</v>
      </c>
      <c r="AB781" t="n">
        <v>3</v>
      </c>
      <c r="AC781" t="n">
        <v>6</v>
      </c>
      <c r="AD781" t="n">
        <v>13</v>
      </c>
      <c r="AE781" t="n">
        <v>34</v>
      </c>
      <c r="AF781" t="n">
        <v>5</v>
      </c>
      <c r="AG781" t="n">
        <v>15</v>
      </c>
      <c r="AH781" t="n">
        <v>2</v>
      </c>
      <c r="AI781" t="n">
        <v>7</v>
      </c>
      <c r="AJ781" t="n">
        <v>7</v>
      </c>
      <c r="AK781" t="n">
        <v>16</v>
      </c>
      <c r="AL781" t="n">
        <v>2</v>
      </c>
      <c r="AM781" t="n">
        <v>4</v>
      </c>
      <c r="AN781" t="n">
        <v>0</v>
      </c>
      <c r="AO781" t="n">
        <v>0</v>
      </c>
      <c r="AP781" t="inlineStr">
        <is>
          <t>No</t>
        </is>
      </c>
      <c r="AQ781" t="inlineStr">
        <is>
          <t>Yes</t>
        </is>
      </c>
      <c r="AR781">
        <f>HYPERLINK("http://catalog.hathitrust.org/Record/004469726","HathiTrust Record")</f>
        <v/>
      </c>
      <c r="AS781">
        <f>HYPERLINK("https://creighton-primo.hosted.exlibrisgroup.com/primo-explore/search?tab=default_tab&amp;search_scope=EVERYTHING&amp;vid=01CRU&amp;lang=en_US&amp;offset=0&amp;query=any,contains,991003467439702656","Catalog Record")</f>
        <v/>
      </c>
      <c r="AT781">
        <f>HYPERLINK("http://www.worldcat.org/oclc/1009197","WorldCat Record")</f>
        <v/>
      </c>
      <c r="AU781" t="inlineStr">
        <is>
          <t>8907013990:eng</t>
        </is>
      </c>
      <c r="AV781" t="inlineStr">
        <is>
          <t>1009197</t>
        </is>
      </c>
      <c r="AW781" t="inlineStr">
        <is>
          <t>991003467439702656</t>
        </is>
      </c>
      <c r="AX781" t="inlineStr">
        <is>
          <t>991003467439702656</t>
        </is>
      </c>
      <c r="AY781" t="inlineStr">
        <is>
          <t>2263672420002656</t>
        </is>
      </c>
      <c r="AZ781" t="inlineStr">
        <is>
          <t>BOOK</t>
        </is>
      </c>
      <c r="BB781" t="inlineStr">
        <is>
          <t>9780804811170</t>
        </is>
      </c>
      <c r="BC781" t="inlineStr">
        <is>
          <t>32285001671808</t>
        </is>
      </c>
      <c r="BD781" t="inlineStr">
        <is>
          <t>893258438</t>
        </is>
      </c>
    </row>
    <row r="782">
      <c r="A782" t="inlineStr">
        <is>
          <t>No</t>
        </is>
      </c>
      <c r="B782" t="inlineStr">
        <is>
          <t>PL794 .I235 1956</t>
        </is>
      </c>
      <c r="C782" t="inlineStr">
        <is>
          <t>0                      PL 0794000I  235         1956</t>
        </is>
      </c>
      <c r="D782" t="inlineStr">
        <is>
          <t>Five women who loved love / translated by Wm. Theodore de Bary, with a background essay by Richard Lane, and the 17th-century illus. by Yoshida Hambei.</t>
        </is>
      </c>
      <c r="F782" t="inlineStr">
        <is>
          <t>No</t>
        </is>
      </c>
      <c r="G782" t="inlineStr">
        <is>
          <t>1</t>
        </is>
      </c>
      <c r="H782" t="inlineStr">
        <is>
          <t>No</t>
        </is>
      </c>
      <c r="I782" t="inlineStr">
        <is>
          <t>No</t>
        </is>
      </c>
      <c r="J782" t="inlineStr">
        <is>
          <t>0</t>
        </is>
      </c>
      <c r="K782" t="inlineStr">
        <is>
          <t>Ihara, Saikaku, 1642-1693.</t>
        </is>
      </c>
      <c r="L782" t="inlineStr">
        <is>
          <t>Tokyo ; Rutland, Vt. : C.E. Tuttle Co., c1956.</t>
        </is>
      </c>
      <c r="M782" t="inlineStr">
        <is>
          <t>1956</t>
        </is>
      </c>
      <c r="O782" t="inlineStr">
        <is>
          <t>eng</t>
        </is>
      </c>
      <c r="P782" t="inlineStr">
        <is>
          <t xml:space="preserve">ja </t>
        </is>
      </c>
      <c r="R782" t="inlineStr">
        <is>
          <t xml:space="preserve">PL </t>
        </is>
      </c>
      <c r="S782" t="n">
        <v>10</v>
      </c>
      <c r="T782" t="n">
        <v>10</v>
      </c>
      <c r="U782" t="inlineStr">
        <is>
          <t>2007-01-18</t>
        </is>
      </c>
      <c r="V782" t="inlineStr">
        <is>
          <t>2007-01-18</t>
        </is>
      </c>
      <c r="W782" t="inlineStr">
        <is>
          <t>1997-09-22</t>
        </is>
      </c>
      <c r="X782" t="inlineStr">
        <is>
          <t>1997-09-22</t>
        </is>
      </c>
      <c r="Y782" t="n">
        <v>14</v>
      </c>
      <c r="Z782" t="n">
        <v>10</v>
      </c>
      <c r="AA782" t="n">
        <v>668</v>
      </c>
      <c r="AB782" t="n">
        <v>2</v>
      </c>
      <c r="AC782" t="n">
        <v>6</v>
      </c>
      <c r="AD782" t="n">
        <v>2</v>
      </c>
      <c r="AE782" t="n">
        <v>31</v>
      </c>
      <c r="AF782" t="n">
        <v>1</v>
      </c>
      <c r="AG782" t="n">
        <v>12</v>
      </c>
      <c r="AH782" t="n">
        <v>0</v>
      </c>
      <c r="AI782" t="n">
        <v>7</v>
      </c>
      <c r="AJ782" t="n">
        <v>1</v>
      </c>
      <c r="AK782" t="n">
        <v>13</v>
      </c>
      <c r="AL782" t="n">
        <v>1</v>
      </c>
      <c r="AM782" t="n">
        <v>5</v>
      </c>
      <c r="AN782" t="n">
        <v>0</v>
      </c>
      <c r="AO782" t="n">
        <v>0</v>
      </c>
      <c r="AP782" t="inlineStr">
        <is>
          <t>No</t>
        </is>
      </c>
      <c r="AQ782" t="inlineStr">
        <is>
          <t>No</t>
        </is>
      </c>
      <c r="AS782">
        <f>HYPERLINK("https://creighton-primo.hosted.exlibrisgroup.com/primo-explore/search?tab=default_tab&amp;search_scope=EVERYTHING&amp;vid=01CRU&amp;lang=en_US&amp;offset=0&amp;query=any,contains,991002474839702656","Catalog Record")</f>
        <v/>
      </c>
      <c r="AT782">
        <f>HYPERLINK("http://www.worldcat.org/oclc/32235550","WorldCat Record")</f>
        <v/>
      </c>
      <c r="AU782" t="inlineStr">
        <is>
          <t>5090450113:eng</t>
        </is>
      </c>
      <c r="AV782" t="inlineStr">
        <is>
          <t>32235550</t>
        </is>
      </c>
      <c r="AW782" t="inlineStr">
        <is>
          <t>991002474839702656</t>
        </is>
      </c>
      <c r="AX782" t="inlineStr">
        <is>
          <t>991002474839702656</t>
        </is>
      </c>
      <c r="AY782" t="inlineStr">
        <is>
          <t>2264400130002656</t>
        </is>
      </c>
      <c r="AZ782" t="inlineStr">
        <is>
          <t>BOOK</t>
        </is>
      </c>
      <c r="BB782" t="inlineStr">
        <is>
          <t>9780804801843</t>
        </is>
      </c>
      <c r="BC782" t="inlineStr">
        <is>
          <t>32285003176772</t>
        </is>
      </c>
      <c r="BD782" t="inlineStr">
        <is>
          <t>893697837</t>
        </is>
      </c>
    </row>
    <row r="783">
      <c r="A783" t="inlineStr">
        <is>
          <t>No</t>
        </is>
      </c>
      <c r="B783" t="inlineStr">
        <is>
          <t>PL794 .K613 1969</t>
        </is>
      </c>
      <c r="C783" t="inlineStr">
        <is>
          <t>0                      PL 0794000K  613         1969</t>
        </is>
      </c>
      <c r="D783" t="inlineStr">
        <is>
          <t>The life of an amorous woman : and other writings / by Ihara Saikaku ; edited and translated by Ivan Morris.</t>
        </is>
      </c>
      <c r="F783" t="inlineStr">
        <is>
          <t>No</t>
        </is>
      </c>
      <c r="G783" t="inlineStr">
        <is>
          <t>1</t>
        </is>
      </c>
      <c r="H783" t="inlineStr">
        <is>
          <t>No</t>
        </is>
      </c>
      <c r="I783" t="inlineStr">
        <is>
          <t>No</t>
        </is>
      </c>
      <c r="J783" t="inlineStr">
        <is>
          <t>0</t>
        </is>
      </c>
      <c r="K783" t="inlineStr">
        <is>
          <t>Ihara, Saikaku, 1642-1693.</t>
        </is>
      </c>
      <c r="L783" t="inlineStr">
        <is>
          <t>New York : New Directions, 1969, c1963.</t>
        </is>
      </c>
      <c r="M783" t="inlineStr">
        <is>
          <t>1969</t>
        </is>
      </c>
      <c r="O783" t="inlineStr">
        <is>
          <t>eng</t>
        </is>
      </c>
      <c r="P783" t="inlineStr">
        <is>
          <t>nyu</t>
        </is>
      </c>
      <c r="Q783" t="inlineStr">
        <is>
          <t>UNESCO collection of representative literary works</t>
        </is>
      </c>
      <c r="R783" t="inlineStr">
        <is>
          <t xml:space="preserve">PL </t>
        </is>
      </c>
      <c r="S783" t="n">
        <v>3</v>
      </c>
      <c r="T783" t="n">
        <v>3</v>
      </c>
      <c r="U783" t="inlineStr">
        <is>
          <t>1999-03-16</t>
        </is>
      </c>
      <c r="V783" t="inlineStr">
        <is>
          <t>1999-03-16</t>
        </is>
      </c>
      <c r="W783" t="inlineStr">
        <is>
          <t>1997-05-05</t>
        </is>
      </c>
      <c r="X783" t="inlineStr">
        <is>
          <t>1997-05-05</t>
        </is>
      </c>
      <c r="Y783" t="n">
        <v>190</v>
      </c>
      <c r="Z783" t="n">
        <v>154</v>
      </c>
      <c r="AA783" t="n">
        <v>638</v>
      </c>
      <c r="AB783" t="n">
        <v>2</v>
      </c>
      <c r="AC783" t="n">
        <v>4</v>
      </c>
      <c r="AD783" t="n">
        <v>13</v>
      </c>
      <c r="AE783" t="n">
        <v>30</v>
      </c>
      <c r="AF783" t="n">
        <v>3</v>
      </c>
      <c r="AG783" t="n">
        <v>14</v>
      </c>
      <c r="AH783" t="n">
        <v>5</v>
      </c>
      <c r="AI783" t="n">
        <v>8</v>
      </c>
      <c r="AJ783" t="n">
        <v>8</v>
      </c>
      <c r="AK783" t="n">
        <v>15</v>
      </c>
      <c r="AL783" t="n">
        <v>1</v>
      </c>
      <c r="AM783" t="n">
        <v>3</v>
      </c>
      <c r="AN783" t="n">
        <v>0</v>
      </c>
      <c r="AO783" t="n">
        <v>0</v>
      </c>
      <c r="AP783" t="inlineStr">
        <is>
          <t>No</t>
        </is>
      </c>
      <c r="AQ783" t="inlineStr">
        <is>
          <t>No</t>
        </is>
      </c>
      <c r="AS783">
        <f>HYPERLINK("https://creighton-primo.hosted.exlibrisgroup.com/primo-explore/search?tab=default_tab&amp;search_scope=EVERYTHING&amp;vid=01CRU&amp;lang=en_US&amp;offset=0&amp;query=any,contains,991000237129702656","Catalog Record")</f>
        <v/>
      </c>
      <c r="AT783">
        <f>HYPERLINK("http://www.worldcat.org/oclc/9664879","WorldCat Record")</f>
        <v/>
      </c>
      <c r="AU783" t="inlineStr">
        <is>
          <t>4757841414:eng</t>
        </is>
      </c>
      <c r="AV783" t="inlineStr">
        <is>
          <t>9664879</t>
        </is>
      </c>
      <c r="AW783" t="inlineStr">
        <is>
          <t>991000237129702656</t>
        </is>
      </c>
      <c r="AX783" t="inlineStr">
        <is>
          <t>991000237129702656</t>
        </is>
      </c>
      <c r="AY783" t="inlineStr">
        <is>
          <t>2256088740002656</t>
        </is>
      </c>
      <c r="AZ783" t="inlineStr">
        <is>
          <t>BOOK</t>
        </is>
      </c>
      <c r="BB783" t="inlineStr">
        <is>
          <t>9780811201872</t>
        </is>
      </c>
      <c r="BC783" t="inlineStr">
        <is>
          <t>32285002544053</t>
        </is>
      </c>
      <c r="BD783" t="inlineStr">
        <is>
          <t>893237184</t>
        </is>
      </c>
    </row>
    <row r="784">
      <c r="A784" t="inlineStr">
        <is>
          <t>No</t>
        </is>
      </c>
      <c r="B784" t="inlineStr">
        <is>
          <t>PL794 .L54 1964</t>
        </is>
      </c>
      <c r="C784" t="inlineStr">
        <is>
          <t>0                      PL 0794000L  54          1964</t>
        </is>
      </c>
      <c r="D784" t="inlineStr">
        <is>
          <t>The life of an amorous man / Saikaku Ihara. Translated by Kengi Hamada. Illus. by Masakazu Kuwata.</t>
        </is>
      </c>
      <c r="F784" t="inlineStr">
        <is>
          <t>No</t>
        </is>
      </c>
      <c r="G784" t="inlineStr">
        <is>
          <t>1</t>
        </is>
      </c>
      <c r="H784" t="inlineStr">
        <is>
          <t>No</t>
        </is>
      </c>
      <c r="I784" t="inlineStr">
        <is>
          <t>No</t>
        </is>
      </c>
      <c r="J784" t="inlineStr">
        <is>
          <t>0</t>
        </is>
      </c>
      <c r="K784" t="inlineStr">
        <is>
          <t>Ihara, Saikaku, 1642-1693.</t>
        </is>
      </c>
      <c r="L784" t="inlineStr">
        <is>
          <t>Rutland, Vt. : C.E. Tuttle Co., c1964, 1981 printing.</t>
        </is>
      </c>
      <c r="M784" t="inlineStr">
        <is>
          <t>1964</t>
        </is>
      </c>
      <c r="N784" t="inlineStr">
        <is>
          <t>[1st ed.]</t>
        </is>
      </c>
      <c r="O784" t="inlineStr">
        <is>
          <t>eng</t>
        </is>
      </c>
      <c r="P784" t="inlineStr">
        <is>
          <t>___</t>
        </is>
      </c>
      <c r="Q784" t="inlineStr">
        <is>
          <t>Library of Japanese literature</t>
        </is>
      </c>
      <c r="R784" t="inlineStr">
        <is>
          <t xml:space="preserve">PL </t>
        </is>
      </c>
      <c r="S784" t="n">
        <v>3</v>
      </c>
      <c r="T784" t="n">
        <v>3</v>
      </c>
      <c r="U784" t="inlineStr">
        <is>
          <t>1997-01-31</t>
        </is>
      </c>
      <c r="V784" t="inlineStr">
        <is>
          <t>1997-01-31</t>
        </is>
      </c>
      <c r="W784" t="inlineStr">
        <is>
          <t>1993-05-04</t>
        </is>
      </c>
      <c r="X784" t="inlineStr">
        <is>
          <t>1993-05-04</t>
        </is>
      </c>
      <c r="Y784" t="n">
        <v>411</v>
      </c>
      <c r="Z784" t="n">
        <v>331</v>
      </c>
      <c r="AA784" t="n">
        <v>389</v>
      </c>
      <c r="AB784" t="n">
        <v>3</v>
      </c>
      <c r="AC784" t="n">
        <v>5</v>
      </c>
      <c r="AD784" t="n">
        <v>11</v>
      </c>
      <c r="AE784" t="n">
        <v>15</v>
      </c>
      <c r="AF784" t="n">
        <v>3</v>
      </c>
      <c r="AG784" t="n">
        <v>4</v>
      </c>
      <c r="AH784" t="n">
        <v>1</v>
      </c>
      <c r="AI784" t="n">
        <v>3</v>
      </c>
      <c r="AJ784" t="n">
        <v>7</v>
      </c>
      <c r="AK784" t="n">
        <v>8</v>
      </c>
      <c r="AL784" t="n">
        <v>2</v>
      </c>
      <c r="AM784" t="n">
        <v>4</v>
      </c>
      <c r="AN784" t="n">
        <v>0</v>
      </c>
      <c r="AO784" t="n">
        <v>0</v>
      </c>
      <c r="AP784" t="inlineStr">
        <is>
          <t>No</t>
        </is>
      </c>
      <c r="AQ784" t="inlineStr">
        <is>
          <t>Yes</t>
        </is>
      </c>
      <c r="AR784">
        <f>HYPERLINK("http://catalog.hathitrust.org/Record/005868088","HathiTrust Record")</f>
        <v/>
      </c>
      <c r="AS784">
        <f>HYPERLINK("https://creighton-primo.hosted.exlibrisgroup.com/primo-explore/search?tab=default_tab&amp;search_scope=EVERYTHING&amp;vid=01CRU&amp;lang=en_US&amp;offset=0&amp;query=any,contains,991003479929702656","Catalog Record")</f>
        <v/>
      </c>
      <c r="AT784">
        <f>HYPERLINK("http://www.worldcat.org/oclc/1026684","WorldCat Record")</f>
        <v/>
      </c>
      <c r="AU784" t="inlineStr">
        <is>
          <t>4061399289:eng</t>
        </is>
      </c>
      <c r="AV784" t="inlineStr">
        <is>
          <t>1026684</t>
        </is>
      </c>
      <c r="AW784" t="inlineStr">
        <is>
          <t>991003479929702656</t>
        </is>
      </c>
      <c r="AX784" t="inlineStr">
        <is>
          <t>991003479929702656</t>
        </is>
      </c>
      <c r="AY784" t="inlineStr">
        <is>
          <t>2257072430002656</t>
        </is>
      </c>
      <c r="AZ784" t="inlineStr">
        <is>
          <t>BOOK</t>
        </is>
      </c>
      <c r="BC784" t="inlineStr">
        <is>
          <t>32285001671816</t>
        </is>
      </c>
      <c r="BD784" t="inlineStr">
        <is>
          <t>893240238</t>
        </is>
      </c>
    </row>
    <row r="785">
      <c r="A785" t="inlineStr">
        <is>
          <t>No</t>
        </is>
      </c>
      <c r="B785" t="inlineStr">
        <is>
          <t>PL794.4 .A29 1966</t>
        </is>
      </c>
      <c r="C785" t="inlineStr">
        <is>
          <t>0                      PL 0794400A  29          1966</t>
        </is>
      </c>
      <c r="D785" t="inlineStr">
        <is>
          <t>The narrow road to the Deep North, and other travel sketches / Basho ; translated from the Japanese with an introduction by Nobuyuki Yuasa.</t>
        </is>
      </c>
      <c r="F785" t="inlineStr">
        <is>
          <t>No</t>
        </is>
      </c>
      <c r="G785" t="inlineStr">
        <is>
          <t>1</t>
        </is>
      </c>
      <c r="H785" t="inlineStr">
        <is>
          <t>No</t>
        </is>
      </c>
      <c r="I785" t="inlineStr">
        <is>
          <t>No</t>
        </is>
      </c>
      <c r="J785" t="inlineStr">
        <is>
          <t>0</t>
        </is>
      </c>
      <c r="K785" t="inlineStr">
        <is>
          <t>Matsuo, Bashō, 1644-1694.</t>
        </is>
      </c>
      <c r="L785" t="inlineStr">
        <is>
          <t>Harmondsworth : Penguin, 1966.</t>
        </is>
      </c>
      <c r="M785" t="inlineStr">
        <is>
          <t>1966</t>
        </is>
      </c>
      <c r="O785" t="inlineStr">
        <is>
          <t>eng</t>
        </is>
      </c>
      <c r="P785" t="inlineStr">
        <is>
          <t>enk</t>
        </is>
      </c>
      <c r="Q785" t="inlineStr">
        <is>
          <t>Penguin classics ; L185</t>
        </is>
      </c>
      <c r="R785" t="inlineStr">
        <is>
          <t xml:space="preserve">PL </t>
        </is>
      </c>
      <c r="S785" t="n">
        <v>4</v>
      </c>
      <c r="T785" t="n">
        <v>4</v>
      </c>
      <c r="U785" t="inlineStr">
        <is>
          <t>2000-11-07</t>
        </is>
      </c>
      <c r="V785" t="inlineStr">
        <is>
          <t>2000-11-07</t>
        </is>
      </c>
      <c r="W785" t="inlineStr">
        <is>
          <t>1997-04-28</t>
        </is>
      </c>
      <c r="X785" t="inlineStr">
        <is>
          <t>1997-04-28</t>
        </is>
      </c>
      <c r="Y785" t="n">
        <v>1020</v>
      </c>
      <c r="Z785" t="n">
        <v>788</v>
      </c>
      <c r="AA785" t="n">
        <v>933</v>
      </c>
      <c r="AB785" t="n">
        <v>5</v>
      </c>
      <c r="AC785" t="n">
        <v>5</v>
      </c>
      <c r="AD785" t="n">
        <v>40</v>
      </c>
      <c r="AE785" t="n">
        <v>42</v>
      </c>
      <c r="AF785" t="n">
        <v>19</v>
      </c>
      <c r="AG785" t="n">
        <v>19</v>
      </c>
      <c r="AH785" t="n">
        <v>8</v>
      </c>
      <c r="AI785" t="n">
        <v>9</v>
      </c>
      <c r="AJ785" t="n">
        <v>20</v>
      </c>
      <c r="AK785" t="n">
        <v>21</v>
      </c>
      <c r="AL785" t="n">
        <v>4</v>
      </c>
      <c r="AM785" t="n">
        <v>4</v>
      </c>
      <c r="AN785" t="n">
        <v>0</v>
      </c>
      <c r="AO785" t="n">
        <v>0</v>
      </c>
      <c r="AP785" t="inlineStr">
        <is>
          <t>No</t>
        </is>
      </c>
      <c r="AQ785" t="inlineStr">
        <is>
          <t>Yes</t>
        </is>
      </c>
      <c r="AR785">
        <f>HYPERLINK("http://catalog.hathitrust.org/Record/000026800","HathiTrust Record")</f>
        <v/>
      </c>
      <c r="AS785">
        <f>HYPERLINK("https://creighton-primo.hosted.exlibrisgroup.com/primo-explore/search?tab=default_tab&amp;search_scope=EVERYTHING&amp;vid=01CRU&amp;lang=en_US&amp;offset=0&amp;query=any,contains,991003352469702656","Catalog Record")</f>
        <v/>
      </c>
      <c r="AT785">
        <f>HYPERLINK("http://www.worldcat.org/oclc/886056","WorldCat Record")</f>
        <v/>
      </c>
      <c r="AU785" t="inlineStr">
        <is>
          <t>513979:eng</t>
        </is>
      </c>
      <c r="AV785" t="inlineStr">
        <is>
          <t>886056</t>
        </is>
      </c>
      <c r="AW785" t="inlineStr">
        <is>
          <t>991003352469702656</t>
        </is>
      </c>
      <c r="AX785" t="inlineStr">
        <is>
          <t>991003352469702656</t>
        </is>
      </c>
      <c r="AY785" t="inlineStr">
        <is>
          <t>2259783180002656</t>
        </is>
      </c>
      <c r="AZ785" t="inlineStr">
        <is>
          <t>BOOK</t>
        </is>
      </c>
      <c r="BB785" t="inlineStr">
        <is>
          <t>9780140441857</t>
        </is>
      </c>
      <c r="BC785" t="inlineStr">
        <is>
          <t>32285002540952</t>
        </is>
      </c>
      <c r="BD785" t="inlineStr">
        <is>
          <t>893234092</t>
        </is>
      </c>
    </row>
    <row r="786">
      <c r="A786" t="inlineStr">
        <is>
          <t>No</t>
        </is>
      </c>
      <c r="B786" t="inlineStr">
        <is>
          <t>PL794.4.Z5 U39 1992</t>
        </is>
      </c>
      <c r="C786" t="inlineStr">
        <is>
          <t>0                      PL 0794400Z  5                  U  39          1992</t>
        </is>
      </c>
      <c r="D786" t="inlineStr">
        <is>
          <t>Bashō and his interpreters : selected hokku with commentary / compiled, translated, and with an introduction by Makoto Ueda.</t>
        </is>
      </c>
      <c r="F786" t="inlineStr">
        <is>
          <t>No</t>
        </is>
      </c>
      <c r="G786" t="inlineStr">
        <is>
          <t>1</t>
        </is>
      </c>
      <c r="H786" t="inlineStr">
        <is>
          <t>No</t>
        </is>
      </c>
      <c r="I786" t="inlineStr">
        <is>
          <t>No</t>
        </is>
      </c>
      <c r="J786" t="inlineStr">
        <is>
          <t>0</t>
        </is>
      </c>
      <c r="K786" t="inlineStr">
        <is>
          <t>Ueda, Makoto, 1931-2020.</t>
        </is>
      </c>
      <c r="L786" t="inlineStr">
        <is>
          <t>Stanford, Calif. : Stanford University Press, c1992.</t>
        </is>
      </c>
      <c r="M786" t="inlineStr">
        <is>
          <t>1992</t>
        </is>
      </c>
      <c r="O786" t="inlineStr">
        <is>
          <t>eng</t>
        </is>
      </c>
      <c r="P786" t="inlineStr">
        <is>
          <t>cau</t>
        </is>
      </c>
      <c r="R786" t="inlineStr">
        <is>
          <t xml:space="preserve">PL </t>
        </is>
      </c>
      <c r="S786" t="n">
        <v>8</v>
      </c>
      <c r="T786" t="n">
        <v>8</v>
      </c>
      <c r="U786" t="inlineStr">
        <is>
          <t>2005-01-25</t>
        </is>
      </c>
      <c r="V786" t="inlineStr">
        <is>
          <t>2005-01-25</t>
        </is>
      </c>
      <c r="W786" t="inlineStr">
        <is>
          <t>1997-05-06</t>
        </is>
      </c>
      <c r="X786" t="inlineStr">
        <is>
          <t>1997-05-06</t>
        </is>
      </c>
      <c r="Y786" t="n">
        <v>135</v>
      </c>
      <c r="Z786" t="n">
        <v>107</v>
      </c>
      <c r="AA786" t="n">
        <v>416</v>
      </c>
      <c r="AB786" t="n">
        <v>3</v>
      </c>
      <c r="AC786" t="n">
        <v>4</v>
      </c>
      <c r="AD786" t="n">
        <v>3</v>
      </c>
      <c r="AE786" t="n">
        <v>20</v>
      </c>
      <c r="AF786" t="n">
        <v>1</v>
      </c>
      <c r="AG786" t="n">
        <v>6</v>
      </c>
      <c r="AH786" t="n">
        <v>0</v>
      </c>
      <c r="AI786" t="n">
        <v>5</v>
      </c>
      <c r="AJ786" t="n">
        <v>0</v>
      </c>
      <c r="AK786" t="n">
        <v>10</v>
      </c>
      <c r="AL786" t="n">
        <v>2</v>
      </c>
      <c r="AM786" t="n">
        <v>3</v>
      </c>
      <c r="AN786" t="n">
        <v>0</v>
      </c>
      <c r="AO786" t="n">
        <v>0</v>
      </c>
      <c r="AP786" t="inlineStr">
        <is>
          <t>No</t>
        </is>
      </c>
      <c r="AQ786" t="inlineStr">
        <is>
          <t>No</t>
        </is>
      </c>
      <c r="AS786">
        <f>HYPERLINK("https://creighton-primo.hosted.exlibrisgroup.com/primo-explore/search?tab=default_tab&amp;search_scope=EVERYTHING&amp;vid=01CRU&amp;lang=en_US&amp;offset=0&amp;query=any,contains,991002588249702656","Catalog Record")</f>
        <v/>
      </c>
      <c r="AT786">
        <f>HYPERLINK("http://www.worldcat.org/oclc/33929878","WorldCat Record")</f>
        <v/>
      </c>
      <c r="AU786" t="inlineStr">
        <is>
          <t>24589812:eng</t>
        </is>
      </c>
      <c r="AV786" t="inlineStr">
        <is>
          <t>33929878</t>
        </is>
      </c>
      <c r="AW786" t="inlineStr">
        <is>
          <t>991002588249702656</t>
        </is>
      </c>
      <c r="AX786" t="inlineStr">
        <is>
          <t>991002588249702656</t>
        </is>
      </c>
      <c r="AY786" t="inlineStr">
        <is>
          <t>2255069500002656</t>
        </is>
      </c>
      <c r="AZ786" t="inlineStr">
        <is>
          <t>BOOK</t>
        </is>
      </c>
      <c r="BB786" t="inlineStr">
        <is>
          <t>9780804719162</t>
        </is>
      </c>
      <c r="BC786" t="inlineStr">
        <is>
          <t>32285002544418</t>
        </is>
      </c>
      <c r="BD786" t="inlineStr">
        <is>
          <t>893898945</t>
        </is>
      </c>
    </row>
    <row r="787">
      <c r="A787" t="inlineStr">
        <is>
          <t>No</t>
        </is>
      </c>
      <c r="B787" t="inlineStr">
        <is>
          <t>PL794.4.Z5 U4</t>
        </is>
      </c>
      <c r="C787" t="inlineStr">
        <is>
          <t>0                      PL 0794400Z  5                  U  4</t>
        </is>
      </c>
      <c r="D787" t="inlineStr">
        <is>
          <t>Matsuo Bashō / by Makoto Ueda.</t>
        </is>
      </c>
      <c r="F787" t="inlineStr">
        <is>
          <t>No</t>
        </is>
      </c>
      <c r="G787" t="inlineStr">
        <is>
          <t>1</t>
        </is>
      </c>
      <c r="H787" t="inlineStr">
        <is>
          <t>No</t>
        </is>
      </c>
      <c r="I787" t="inlineStr">
        <is>
          <t>No</t>
        </is>
      </c>
      <c r="J787" t="inlineStr">
        <is>
          <t>0</t>
        </is>
      </c>
      <c r="K787" t="inlineStr">
        <is>
          <t>Ueda, Makoto, 1931-2020.</t>
        </is>
      </c>
      <c r="L787" t="inlineStr">
        <is>
          <t>New York : Twayne Publishers, [1970]</t>
        </is>
      </c>
      <c r="M787" t="inlineStr">
        <is>
          <t>1970</t>
        </is>
      </c>
      <c r="O787" t="inlineStr">
        <is>
          <t>eng</t>
        </is>
      </c>
      <c r="P787" t="inlineStr">
        <is>
          <t>nyu</t>
        </is>
      </c>
      <c r="Q787" t="inlineStr">
        <is>
          <t>Twayne's world authors series ; TWAS 102</t>
        </is>
      </c>
      <c r="R787" t="inlineStr">
        <is>
          <t xml:space="preserve">PL </t>
        </is>
      </c>
      <c r="S787" t="n">
        <v>14</v>
      </c>
      <c r="T787" t="n">
        <v>14</v>
      </c>
      <c r="U787" t="inlineStr">
        <is>
          <t>2005-01-25</t>
        </is>
      </c>
      <c r="V787" t="inlineStr">
        <is>
          <t>2005-01-25</t>
        </is>
      </c>
      <c r="W787" t="inlineStr">
        <is>
          <t>1993-05-04</t>
        </is>
      </c>
      <c r="X787" t="inlineStr">
        <is>
          <t>1993-05-04</t>
        </is>
      </c>
      <c r="Y787" t="n">
        <v>605</v>
      </c>
      <c r="Z787" t="n">
        <v>551</v>
      </c>
      <c r="AA787" t="n">
        <v>754</v>
      </c>
      <c r="AB787" t="n">
        <v>4</v>
      </c>
      <c r="AC787" t="n">
        <v>5</v>
      </c>
      <c r="AD787" t="n">
        <v>20</v>
      </c>
      <c r="AE787" t="n">
        <v>27</v>
      </c>
      <c r="AF787" t="n">
        <v>7</v>
      </c>
      <c r="AG787" t="n">
        <v>10</v>
      </c>
      <c r="AH787" t="n">
        <v>4</v>
      </c>
      <c r="AI787" t="n">
        <v>6</v>
      </c>
      <c r="AJ787" t="n">
        <v>10</v>
      </c>
      <c r="AK787" t="n">
        <v>14</v>
      </c>
      <c r="AL787" t="n">
        <v>3</v>
      </c>
      <c r="AM787" t="n">
        <v>4</v>
      </c>
      <c r="AN787" t="n">
        <v>0</v>
      </c>
      <c r="AO787" t="n">
        <v>0</v>
      </c>
      <c r="AP787" t="inlineStr">
        <is>
          <t>No</t>
        </is>
      </c>
      <c r="AQ787" t="inlineStr">
        <is>
          <t>Yes</t>
        </is>
      </c>
      <c r="AR787">
        <f>HYPERLINK("http://catalog.hathitrust.org/Record/001184806","HathiTrust Record")</f>
        <v/>
      </c>
      <c r="AS787">
        <f>HYPERLINK("https://creighton-primo.hosted.exlibrisgroup.com/primo-explore/search?tab=default_tab&amp;search_scope=EVERYTHING&amp;vid=01CRU&amp;lang=en_US&amp;offset=0&amp;query=any,contains,991000634069702656","Catalog Record")</f>
        <v/>
      </c>
      <c r="AT787">
        <f>HYPERLINK("http://www.worldcat.org/oclc/107090","WorldCat Record")</f>
        <v/>
      </c>
      <c r="AU787" t="inlineStr">
        <is>
          <t>4926256911:eng</t>
        </is>
      </c>
      <c r="AV787" t="inlineStr">
        <is>
          <t>107090</t>
        </is>
      </c>
      <c r="AW787" t="inlineStr">
        <is>
          <t>991000634069702656</t>
        </is>
      </c>
      <c r="AX787" t="inlineStr">
        <is>
          <t>991000634069702656</t>
        </is>
      </c>
      <c r="AY787" t="inlineStr">
        <is>
          <t>2262065560002656</t>
        </is>
      </c>
      <c r="AZ787" t="inlineStr">
        <is>
          <t>BOOK</t>
        </is>
      </c>
      <c r="BC787" t="inlineStr">
        <is>
          <t>32285001671824</t>
        </is>
      </c>
      <c r="BD787" t="inlineStr">
        <is>
          <t>893528233</t>
        </is>
      </c>
    </row>
    <row r="788">
      <c r="A788" t="inlineStr">
        <is>
          <t>No</t>
        </is>
      </c>
      <c r="B788" t="inlineStr">
        <is>
          <t>PL794.Z5 A36 1996</t>
        </is>
      </c>
      <c r="C788" t="inlineStr">
        <is>
          <t>0                      PL 0794000Z  5                  A  36          1996</t>
        </is>
      </c>
      <c r="D788" t="inlineStr">
        <is>
          <t>Back roads to far towns : Bashō's Oku-no-hosomichi / with a translation and notes by Cid Corman and Kamaike Susumu ; illustrated by Hayakawa Ikutada ; [introduction by Robert Hass].</t>
        </is>
      </c>
      <c r="F788" t="inlineStr">
        <is>
          <t>No</t>
        </is>
      </c>
      <c r="G788" t="inlineStr">
        <is>
          <t>1</t>
        </is>
      </c>
      <c r="H788" t="inlineStr">
        <is>
          <t>No</t>
        </is>
      </c>
      <c r="I788" t="inlineStr">
        <is>
          <t>No</t>
        </is>
      </c>
      <c r="J788" t="inlineStr">
        <is>
          <t>0</t>
        </is>
      </c>
      <c r="K788" t="inlineStr">
        <is>
          <t>Matsuo, Bashō, 1644-1694.</t>
        </is>
      </c>
      <c r="L788" t="inlineStr">
        <is>
          <t>Hopewell, NJ : Ecco Press, 1996.</t>
        </is>
      </c>
      <c r="M788" t="inlineStr">
        <is>
          <t>1996</t>
        </is>
      </c>
      <c r="N788" t="inlineStr">
        <is>
          <t>1st Ecco ed.</t>
        </is>
      </c>
      <c r="O788" t="inlineStr">
        <is>
          <t>eng</t>
        </is>
      </c>
      <c r="P788" t="inlineStr">
        <is>
          <t>nju</t>
        </is>
      </c>
      <c r="Q788" t="inlineStr">
        <is>
          <t>Ecco travels</t>
        </is>
      </c>
      <c r="R788" t="inlineStr">
        <is>
          <t xml:space="preserve">PL </t>
        </is>
      </c>
      <c r="S788" t="n">
        <v>2</v>
      </c>
      <c r="T788" t="n">
        <v>2</v>
      </c>
      <c r="U788" t="inlineStr">
        <is>
          <t>2008-05-05</t>
        </is>
      </c>
      <c r="V788" t="inlineStr">
        <is>
          <t>2008-05-05</t>
        </is>
      </c>
      <c r="W788" t="inlineStr">
        <is>
          <t>1997-08-28</t>
        </is>
      </c>
      <c r="X788" t="inlineStr">
        <is>
          <t>1997-08-28</t>
        </is>
      </c>
      <c r="Y788" t="n">
        <v>94</v>
      </c>
      <c r="Z788" t="n">
        <v>86</v>
      </c>
      <c r="AA788" t="n">
        <v>367</v>
      </c>
      <c r="AB788" t="n">
        <v>1</v>
      </c>
      <c r="AC788" t="n">
        <v>4</v>
      </c>
      <c r="AD788" t="n">
        <v>3</v>
      </c>
      <c r="AE788" t="n">
        <v>16</v>
      </c>
      <c r="AF788" t="n">
        <v>0</v>
      </c>
      <c r="AG788" t="n">
        <v>6</v>
      </c>
      <c r="AH788" t="n">
        <v>1</v>
      </c>
      <c r="AI788" t="n">
        <v>4</v>
      </c>
      <c r="AJ788" t="n">
        <v>2</v>
      </c>
      <c r="AK788" t="n">
        <v>7</v>
      </c>
      <c r="AL788" t="n">
        <v>0</v>
      </c>
      <c r="AM788" t="n">
        <v>3</v>
      </c>
      <c r="AN788" t="n">
        <v>0</v>
      </c>
      <c r="AO788" t="n">
        <v>0</v>
      </c>
      <c r="AP788" t="inlineStr">
        <is>
          <t>No</t>
        </is>
      </c>
      <c r="AQ788" t="inlineStr">
        <is>
          <t>Yes</t>
        </is>
      </c>
      <c r="AR788">
        <f>HYPERLINK("http://catalog.hathitrust.org/Record/101977764","HathiTrust Record")</f>
        <v/>
      </c>
      <c r="AS788">
        <f>HYPERLINK("https://creighton-primo.hosted.exlibrisgroup.com/primo-explore/search?tab=default_tab&amp;search_scope=EVERYTHING&amp;vid=01CRU&amp;lang=en_US&amp;offset=0&amp;query=any,contains,991002629289702656","Catalog Record")</f>
        <v/>
      </c>
      <c r="AT788">
        <f>HYPERLINK("http://www.worldcat.org/oclc/34474069","WorldCat Record")</f>
        <v/>
      </c>
      <c r="AU788" t="inlineStr">
        <is>
          <t>4495025646:eng</t>
        </is>
      </c>
      <c r="AV788" t="inlineStr">
        <is>
          <t>34474069</t>
        </is>
      </c>
      <c r="AW788" t="inlineStr">
        <is>
          <t>991002629289702656</t>
        </is>
      </c>
      <c r="AX788" t="inlineStr">
        <is>
          <t>991002629289702656</t>
        </is>
      </c>
      <c r="AY788" t="inlineStr">
        <is>
          <t>2265986710002656</t>
        </is>
      </c>
      <c r="AZ788" t="inlineStr">
        <is>
          <t>BOOK</t>
        </is>
      </c>
      <c r="BB788" t="inlineStr">
        <is>
          <t>9780880014670</t>
        </is>
      </c>
      <c r="BC788" t="inlineStr">
        <is>
          <t>32285003002465</t>
        </is>
      </c>
      <c r="BD788" t="inlineStr">
        <is>
          <t>893716693</t>
        </is>
      </c>
    </row>
    <row r="789">
      <c r="A789" t="inlineStr">
        <is>
          <t>No</t>
        </is>
      </c>
      <c r="B789" t="inlineStr">
        <is>
          <t>PL8010 .B3</t>
        </is>
      </c>
      <c r="C789" t="inlineStr">
        <is>
          <t>0                      PL 8010000B  3</t>
        </is>
      </c>
      <c r="D789" t="inlineStr">
        <is>
          <t>African theatre today / [by] Martin Banham with Clive Wake.</t>
        </is>
      </c>
      <c r="F789" t="inlineStr">
        <is>
          <t>No</t>
        </is>
      </c>
      <c r="G789" t="inlineStr">
        <is>
          <t>1</t>
        </is>
      </c>
      <c r="H789" t="inlineStr">
        <is>
          <t>No</t>
        </is>
      </c>
      <c r="I789" t="inlineStr">
        <is>
          <t>No</t>
        </is>
      </c>
      <c r="J789" t="inlineStr">
        <is>
          <t>0</t>
        </is>
      </c>
      <c r="K789" t="inlineStr">
        <is>
          <t>Banham, Martin.</t>
        </is>
      </c>
      <c r="L789" t="inlineStr">
        <is>
          <t>London : Pitman, 1976.</t>
        </is>
      </c>
      <c r="M789" t="inlineStr">
        <is>
          <t>1976</t>
        </is>
      </c>
      <c r="O789" t="inlineStr">
        <is>
          <t>eng</t>
        </is>
      </c>
      <c r="P789" t="inlineStr">
        <is>
          <t>enk</t>
        </is>
      </c>
      <c r="Q789" t="inlineStr">
        <is>
          <t>Theatre today</t>
        </is>
      </c>
      <c r="R789" t="inlineStr">
        <is>
          <t xml:space="preserve">PL </t>
        </is>
      </c>
      <c r="S789" t="n">
        <v>4</v>
      </c>
      <c r="T789" t="n">
        <v>4</v>
      </c>
      <c r="U789" t="inlineStr">
        <is>
          <t>2006-10-10</t>
        </is>
      </c>
      <c r="V789" t="inlineStr">
        <is>
          <t>2006-10-10</t>
        </is>
      </c>
      <c r="W789" t="inlineStr">
        <is>
          <t>1997-09-17</t>
        </is>
      </c>
      <c r="X789" t="inlineStr">
        <is>
          <t>1997-09-17</t>
        </is>
      </c>
      <c r="Y789" t="n">
        <v>517</v>
      </c>
      <c r="Z789" t="n">
        <v>361</v>
      </c>
      <c r="AA789" t="n">
        <v>364</v>
      </c>
      <c r="AB789" t="n">
        <v>5</v>
      </c>
      <c r="AC789" t="n">
        <v>5</v>
      </c>
      <c r="AD789" t="n">
        <v>13</v>
      </c>
      <c r="AE789" t="n">
        <v>14</v>
      </c>
      <c r="AF789" t="n">
        <v>5</v>
      </c>
      <c r="AG789" t="n">
        <v>5</v>
      </c>
      <c r="AH789" t="n">
        <v>2</v>
      </c>
      <c r="AI789" t="n">
        <v>3</v>
      </c>
      <c r="AJ789" t="n">
        <v>6</v>
      </c>
      <c r="AK789" t="n">
        <v>6</v>
      </c>
      <c r="AL789" t="n">
        <v>3</v>
      </c>
      <c r="AM789" t="n">
        <v>3</v>
      </c>
      <c r="AN789" t="n">
        <v>0</v>
      </c>
      <c r="AO789" t="n">
        <v>0</v>
      </c>
      <c r="AP789" t="inlineStr">
        <is>
          <t>No</t>
        </is>
      </c>
      <c r="AQ789" t="inlineStr">
        <is>
          <t>Yes</t>
        </is>
      </c>
      <c r="AR789">
        <f>HYPERLINK("http://catalog.hathitrust.org/Record/000734438","HathiTrust Record")</f>
        <v/>
      </c>
      <c r="AS789">
        <f>HYPERLINK("https://creighton-primo.hosted.exlibrisgroup.com/primo-explore/search?tab=default_tab&amp;search_scope=EVERYTHING&amp;vid=01CRU&amp;lang=en_US&amp;offset=0&amp;query=any,contains,991004172879702656","Catalog Record")</f>
        <v/>
      </c>
      <c r="AT789">
        <f>HYPERLINK("http://www.worldcat.org/oclc/2587520","WorldCat Record")</f>
        <v/>
      </c>
      <c r="AU789" t="inlineStr">
        <is>
          <t>431173:eng</t>
        </is>
      </c>
      <c r="AV789" t="inlineStr">
        <is>
          <t>2587520</t>
        </is>
      </c>
      <c r="AW789" t="inlineStr">
        <is>
          <t>991004172879702656</t>
        </is>
      </c>
      <c r="AX789" t="inlineStr">
        <is>
          <t>991004172879702656</t>
        </is>
      </c>
      <c r="AY789" t="inlineStr">
        <is>
          <t>2262279490002656</t>
        </is>
      </c>
      <c r="AZ789" t="inlineStr">
        <is>
          <t>BOOK</t>
        </is>
      </c>
      <c r="BB789" t="inlineStr">
        <is>
          <t>9780273003489</t>
        </is>
      </c>
      <c r="BC789" t="inlineStr">
        <is>
          <t>32285003235487</t>
        </is>
      </c>
      <c r="BD789" t="inlineStr">
        <is>
          <t>893247241</t>
        </is>
      </c>
    </row>
    <row r="790">
      <c r="A790" t="inlineStr">
        <is>
          <t>No</t>
        </is>
      </c>
      <c r="B790" t="inlineStr">
        <is>
          <t>PL8010 .C3</t>
        </is>
      </c>
      <c r="C790" t="inlineStr">
        <is>
          <t>0                      PL 8010000C  3</t>
        </is>
      </c>
      <c r="D790" t="inlineStr">
        <is>
          <t>Whispers from a continent; the literature of contemporary black Africa.</t>
        </is>
      </c>
      <c r="F790" t="inlineStr">
        <is>
          <t>No</t>
        </is>
      </c>
      <c r="G790" t="inlineStr">
        <is>
          <t>1</t>
        </is>
      </c>
      <c r="H790" t="inlineStr">
        <is>
          <t>No</t>
        </is>
      </c>
      <c r="I790" t="inlineStr">
        <is>
          <t>No</t>
        </is>
      </c>
      <c r="J790" t="inlineStr">
        <is>
          <t>0</t>
        </is>
      </c>
      <c r="K790" t="inlineStr">
        <is>
          <t>Cartey, Wilfred, 1931-1992.</t>
        </is>
      </c>
      <c r="L790" t="inlineStr">
        <is>
          <t>New York, Random House [1969]</t>
        </is>
      </c>
      <c r="M790" t="inlineStr">
        <is>
          <t>1969</t>
        </is>
      </c>
      <c r="O790" t="inlineStr">
        <is>
          <t>eng</t>
        </is>
      </c>
      <c r="P790" t="inlineStr">
        <is>
          <t>nyu</t>
        </is>
      </c>
      <c r="R790" t="inlineStr">
        <is>
          <t xml:space="preserve">PL </t>
        </is>
      </c>
      <c r="S790" t="n">
        <v>8</v>
      </c>
      <c r="T790" t="n">
        <v>8</v>
      </c>
      <c r="U790" t="inlineStr">
        <is>
          <t>2001-05-03</t>
        </is>
      </c>
      <c r="V790" t="inlineStr">
        <is>
          <t>2001-05-03</t>
        </is>
      </c>
      <c r="W790" t="inlineStr">
        <is>
          <t>1997-09-17</t>
        </is>
      </c>
      <c r="X790" t="inlineStr">
        <is>
          <t>1997-09-17</t>
        </is>
      </c>
      <c r="Y790" t="n">
        <v>760</v>
      </c>
      <c r="Z790" t="n">
        <v>709</v>
      </c>
      <c r="AA790" t="n">
        <v>774</v>
      </c>
      <c r="AB790" t="n">
        <v>2</v>
      </c>
      <c r="AC790" t="n">
        <v>2</v>
      </c>
      <c r="AD790" t="n">
        <v>29</v>
      </c>
      <c r="AE790" t="n">
        <v>31</v>
      </c>
      <c r="AF790" t="n">
        <v>13</v>
      </c>
      <c r="AG790" t="n">
        <v>14</v>
      </c>
      <c r="AH790" t="n">
        <v>5</v>
      </c>
      <c r="AI790" t="n">
        <v>6</v>
      </c>
      <c r="AJ790" t="n">
        <v>15</v>
      </c>
      <c r="AK790" t="n">
        <v>15</v>
      </c>
      <c r="AL790" t="n">
        <v>1</v>
      </c>
      <c r="AM790" t="n">
        <v>1</v>
      </c>
      <c r="AN790" t="n">
        <v>0</v>
      </c>
      <c r="AO790" t="n">
        <v>0</v>
      </c>
      <c r="AP790" t="inlineStr">
        <is>
          <t>No</t>
        </is>
      </c>
      <c r="AQ790" t="inlineStr">
        <is>
          <t>Yes</t>
        </is>
      </c>
      <c r="AR790">
        <f>HYPERLINK("http://catalog.hathitrust.org/Record/001439767","HathiTrust Record")</f>
        <v/>
      </c>
      <c r="AS790">
        <f>HYPERLINK("https://creighton-primo.hosted.exlibrisgroup.com/primo-explore/search?tab=default_tab&amp;search_scope=EVERYTHING&amp;vid=01CRU&amp;lang=en_US&amp;offset=0&amp;query=any,contains,991005432069702656","Catalog Record")</f>
        <v/>
      </c>
      <c r="AT790">
        <f>HYPERLINK("http://www.worldcat.org/oclc/907","WorldCat Record")</f>
        <v/>
      </c>
      <c r="AU790" t="inlineStr">
        <is>
          <t>195981352:eng</t>
        </is>
      </c>
      <c r="AV790" t="inlineStr">
        <is>
          <t>907</t>
        </is>
      </c>
      <c r="AW790" t="inlineStr">
        <is>
          <t>991005432069702656</t>
        </is>
      </c>
      <c r="AX790" t="inlineStr">
        <is>
          <t>991005432069702656</t>
        </is>
      </c>
      <c r="AY790" t="inlineStr">
        <is>
          <t>2272646100002656</t>
        </is>
      </c>
      <c r="AZ790" t="inlineStr">
        <is>
          <t>BOOK</t>
        </is>
      </c>
      <c r="BC790" t="inlineStr">
        <is>
          <t>32285003235503</t>
        </is>
      </c>
      <c r="BD790" t="inlineStr">
        <is>
          <t>893790014</t>
        </is>
      </c>
    </row>
    <row r="791">
      <c r="A791" t="inlineStr">
        <is>
          <t>No</t>
        </is>
      </c>
      <c r="B791" t="inlineStr">
        <is>
          <t>PL8010 .C6 1968</t>
        </is>
      </c>
      <c r="C791" t="inlineStr">
        <is>
          <t>0                      PL 8010000C  6           1968</t>
        </is>
      </c>
      <c r="D791" t="inlineStr">
        <is>
          <t>Perspectives on African literature; selections from the proceedings. Edited by Christopher Heywood.</t>
        </is>
      </c>
      <c r="F791" t="inlineStr">
        <is>
          <t>No</t>
        </is>
      </c>
      <c r="G791" t="inlineStr">
        <is>
          <t>1</t>
        </is>
      </c>
      <c r="H791" t="inlineStr">
        <is>
          <t>No</t>
        </is>
      </c>
      <c r="I791" t="inlineStr">
        <is>
          <t>No</t>
        </is>
      </c>
      <c r="J791" t="inlineStr">
        <is>
          <t>0</t>
        </is>
      </c>
      <c r="K791" t="inlineStr">
        <is>
          <t>Conference on African Literature (1968 : University of Ife)</t>
        </is>
      </c>
      <c r="L791" t="inlineStr">
        <is>
          <t>New York, Africana Pub. Corp. [1971]</t>
        </is>
      </c>
      <c r="M791" t="inlineStr">
        <is>
          <t>1971</t>
        </is>
      </c>
      <c r="O791" t="inlineStr">
        <is>
          <t>eng</t>
        </is>
      </c>
      <c r="P791" t="inlineStr">
        <is>
          <t>nyu</t>
        </is>
      </c>
      <c r="R791" t="inlineStr">
        <is>
          <t xml:space="preserve">PL </t>
        </is>
      </c>
      <c r="S791" t="n">
        <v>13</v>
      </c>
      <c r="T791" t="n">
        <v>13</v>
      </c>
      <c r="U791" t="inlineStr">
        <is>
          <t>2004-04-19</t>
        </is>
      </c>
      <c r="V791" t="inlineStr">
        <is>
          <t>2004-04-19</t>
        </is>
      </c>
      <c r="W791" t="inlineStr">
        <is>
          <t>1997-09-17</t>
        </is>
      </c>
      <c r="X791" t="inlineStr">
        <is>
          <t>1997-09-17</t>
        </is>
      </c>
      <c r="Y791" t="n">
        <v>492</v>
      </c>
      <c r="Z791" t="n">
        <v>455</v>
      </c>
      <c r="AA791" t="n">
        <v>462</v>
      </c>
      <c r="AB791" t="n">
        <v>6</v>
      </c>
      <c r="AC791" t="n">
        <v>6</v>
      </c>
      <c r="AD791" t="n">
        <v>18</v>
      </c>
      <c r="AE791" t="n">
        <v>18</v>
      </c>
      <c r="AF791" t="n">
        <v>7</v>
      </c>
      <c r="AG791" t="n">
        <v>7</v>
      </c>
      <c r="AH791" t="n">
        <v>4</v>
      </c>
      <c r="AI791" t="n">
        <v>4</v>
      </c>
      <c r="AJ791" t="n">
        <v>5</v>
      </c>
      <c r="AK791" t="n">
        <v>5</v>
      </c>
      <c r="AL791" t="n">
        <v>5</v>
      </c>
      <c r="AM791" t="n">
        <v>5</v>
      </c>
      <c r="AN791" t="n">
        <v>0</v>
      </c>
      <c r="AO791" t="n">
        <v>0</v>
      </c>
      <c r="AP791" t="inlineStr">
        <is>
          <t>No</t>
        </is>
      </c>
      <c r="AQ791" t="inlineStr">
        <is>
          <t>Yes</t>
        </is>
      </c>
      <c r="AR791">
        <f>HYPERLINK("http://catalog.hathitrust.org/Record/001009682","HathiTrust Record")</f>
        <v/>
      </c>
      <c r="AS791">
        <f>HYPERLINK("https://creighton-primo.hosted.exlibrisgroup.com/primo-explore/search?tab=default_tab&amp;search_scope=EVERYTHING&amp;vid=01CRU&amp;lang=en_US&amp;offset=0&amp;query=any,contains,991001269079702656","Catalog Record")</f>
        <v/>
      </c>
      <c r="AT791">
        <f>HYPERLINK("http://www.worldcat.org/oclc/210870","WorldCat Record")</f>
        <v/>
      </c>
      <c r="AU791" t="inlineStr">
        <is>
          <t>8907372565:eng</t>
        </is>
      </c>
      <c r="AV791" t="inlineStr">
        <is>
          <t>210870</t>
        </is>
      </c>
      <c r="AW791" t="inlineStr">
        <is>
          <t>991001269079702656</t>
        </is>
      </c>
      <c r="AX791" t="inlineStr">
        <is>
          <t>991001269079702656</t>
        </is>
      </c>
      <c r="AY791" t="inlineStr">
        <is>
          <t>2262155500002656</t>
        </is>
      </c>
      <c r="AZ791" t="inlineStr">
        <is>
          <t>BOOK</t>
        </is>
      </c>
      <c r="BB791" t="inlineStr">
        <is>
          <t>9780841900936</t>
        </is>
      </c>
      <c r="BC791" t="inlineStr">
        <is>
          <t>32285003235511</t>
        </is>
      </c>
      <c r="BD791" t="inlineStr">
        <is>
          <t>893351843</t>
        </is>
      </c>
    </row>
    <row r="792">
      <c r="A792" t="inlineStr">
        <is>
          <t>No</t>
        </is>
      </c>
      <c r="B792" t="inlineStr">
        <is>
          <t>PL8010 .G4</t>
        </is>
      </c>
      <c r="C792" t="inlineStr">
        <is>
          <t>0                      PL 8010000G  4</t>
        </is>
      </c>
      <c r="D792" t="inlineStr">
        <is>
          <t>Four African literatures: Xhosa, Sotho, Zulu, Amharic [by] Albert S. Gérard.</t>
        </is>
      </c>
      <c r="F792" t="inlineStr">
        <is>
          <t>No</t>
        </is>
      </c>
      <c r="G792" t="inlineStr">
        <is>
          <t>1</t>
        </is>
      </c>
      <c r="H792" t="inlineStr">
        <is>
          <t>No</t>
        </is>
      </c>
      <c r="I792" t="inlineStr">
        <is>
          <t>No</t>
        </is>
      </c>
      <c r="J792" t="inlineStr">
        <is>
          <t>0</t>
        </is>
      </c>
      <c r="K792" t="inlineStr">
        <is>
          <t>Gérard, Albert S.</t>
        </is>
      </c>
      <c r="L792" t="inlineStr">
        <is>
          <t>Berkeley, University of California Press [1971]</t>
        </is>
      </c>
      <c r="M792" t="inlineStr">
        <is>
          <t>1971</t>
        </is>
      </c>
      <c r="O792" t="inlineStr">
        <is>
          <t>eng</t>
        </is>
      </c>
      <c r="P792" t="inlineStr">
        <is>
          <t>cau</t>
        </is>
      </c>
      <c r="R792" t="inlineStr">
        <is>
          <t xml:space="preserve">PL </t>
        </is>
      </c>
      <c r="S792" t="n">
        <v>1</v>
      </c>
      <c r="T792" t="n">
        <v>1</v>
      </c>
      <c r="U792" t="inlineStr">
        <is>
          <t>2001-03-14</t>
        </is>
      </c>
      <c r="V792" t="inlineStr">
        <is>
          <t>2001-03-14</t>
        </is>
      </c>
      <c r="W792" t="inlineStr">
        <is>
          <t>1997-09-17</t>
        </is>
      </c>
      <c r="X792" t="inlineStr">
        <is>
          <t>1997-09-17</t>
        </is>
      </c>
      <c r="Y792" t="n">
        <v>694</v>
      </c>
      <c r="Z792" t="n">
        <v>575</v>
      </c>
      <c r="AA792" t="n">
        <v>589</v>
      </c>
      <c r="AB792" t="n">
        <v>4</v>
      </c>
      <c r="AC792" t="n">
        <v>4</v>
      </c>
      <c r="AD792" t="n">
        <v>23</v>
      </c>
      <c r="AE792" t="n">
        <v>23</v>
      </c>
      <c r="AF792" t="n">
        <v>6</v>
      </c>
      <c r="AG792" t="n">
        <v>6</v>
      </c>
      <c r="AH792" t="n">
        <v>6</v>
      </c>
      <c r="AI792" t="n">
        <v>6</v>
      </c>
      <c r="AJ792" t="n">
        <v>13</v>
      </c>
      <c r="AK792" t="n">
        <v>13</v>
      </c>
      <c r="AL792" t="n">
        <v>3</v>
      </c>
      <c r="AM792" t="n">
        <v>3</v>
      </c>
      <c r="AN792" t="n">
        <v>0</v>
      </c>
      <c r="AO792" t="n">
        <v>0</v>
      </c>
      <c r="AP792" t="inlineStr">
        <is>
          <t>No</t>
        </is>
      </c>
      <c r="AQ792" t="inlineStr">
        <is>
          <t>Yes</t>
        </is>
      </c>
      <c r="AR792">
        <f>HYPERLINK("http://catalog.hathitrust.org/Record/001009684","HathiTrust Record")</f>
        <v/>
      </c>
      <c r="AS792">
        <f>HYPERLINK("https://creighton-primo.hosted.exlibrisgroup.com/primo-explore/search?tab=default_tab&amp;search_scope=EVERYTHING&amp;vid=01CRU&amp;lang=en_US&amp;offset=0&amp;query=any,contains,991001906399702656","Catalog Record")</f>
        <v/>
      </c>
      <c r="AT792">
        <f>HYPERLINK("http://www.worldcat.org/oclc/240671","WorldCat Record")</f>
        <v/>
      </c>
      <c r="AU792" t="inlineStr">
        <is>
          <t>1383777:eng</t>
        </is>
      </c>
      <c r="AV792" t="inlineStr">
        <is>
          <t>240671</t>
        </is>
      </c>
      <c r="AW792" t="inlineStr">
        <is>
          <t>991001906399702656</t>
        </is>
      </c>
      <c r="AX792" t="inlineStr">
        <is>
          <t>991001906399702656</t>
        </is>
      </c>
      <c r="AY792" t="inlineStr">
        <is>
          <t>2272245310002656</t>
        </is>
      </c>
      <c r="AZ792" t="inlineStr">
        <is>
          <t>BOOK</t>
        </is>
      </c>
      <c r="BB792" t="inlineStr">
        <is>
          <t>9780520017887</t>
        </is>
      </c>
      <c r="BC792" t="inlineStr">
        <is>
          <t>32285003235529</t>
        </is>
      </c>
      <c r="BD792" t="inlineStr">
        <is>
          <t>893352056</t>
        </is>
      </c>
    </row>
    <row r="793">
      <c r="A793" t="inlineStr">
        <is>
          <t>No</t>
        </is>
      </c>
      <c r="B793" t="inlineStr">
        <is>
          <t>PL8010 .L565 1994</t>
        </is>
      </c>
      <c r="C793" t="inlineStr">
        <is>
          <t>0                      PL 8010000L  565         1994</t>
        </is>
      </c>
      <c r="D793" t="inlineStr">
        <is>
          <t>Literary theory and African literature = Thaeorie littaeraire et littaerature africaine / Josef Gugler, Hans-Jeurgen Leusebrink, Jeurgen Martini (Hrsg.).</t>
        </is>
      </c>
      <c r="F793" t="inlineStr">
        <is>
          <t>No</t>
        </is>
      </c>
      <c r="G793" t="inlineStr">
        <is>
          <t>1</t>
        </is>
      </c>
      <c r="H793" t="inlineStr">
        <is>
          <t>No</t>
        </is>
      </c>
      <c r="I793" t="inlineStr">
        <is>
          <t>No</t>
        </is>
      </c>
      <c r="J793" t="inlineStr">
        <is>
          <t>0</t>
        </is>
      </c>
      <c r="L793" t="inlineStr">
        <is>
          <t>Meunster : Lit, [1994]</t>
        </is>
      </c>
      <c r="M793" t="inlineStr">
        <is>
          <t>1994</t>
        </is>
      </c>
      <c r="O793" t="inlineStr">
        <is>
          <t>eng</t>
        </is>
      </c>
      <c r="P793" t="inlineStr">
        <is>
          <t xml:space="preserve">gw </t>
        </is>
      </c>
      <c r="Q793" t="inlineStr">
        <is>
          <t>Beitreage zur Afrikaforschung, 0938-7285 ; Bd. 3</t>
        </is>
      </c>
      <c r="R793" t="inlineStr">
        <is>
          <t xml:space="preserve">PL </t>
        </is>
      </c>
      <c r="S793" t="n">
        <v>1</v>
      </c>
      <c r="T793" t="n">
        <v>1</v>
      </c>
      <c r="U793" t="inlineStr">
        <is>
          <t>2004-05-19</t>
        </is>
      </c>
      <c r="V793" t="inlineStr">
        <is>
          <t>2004-05-19</t>
        </is>
      </c>
      <c r="W793" t="inlineStr">
        <is>
          <t>2004-05-19</t>
        </is>
      </c>
      <c r="X793" t="inlineStr">
        <is>
          <t>2004-05-19</t>
        </is>
      </c>
      <c r="Y793" t="n">
        <v>150</v>
      </c>
      <c r="Z793" t="n">
        <v>107</v>
      </c>
      <c r="AA793" t="n">
        <v>108</v>
      </c>
      <c r="AB793" t="n">
        <v>2</v>
      </c>
      <c r="AC793" t="n">
        <v>2</v>
      </c>
      <c r="AD793" t="n">
        <v>5</v>
      </c>
      <c r="AE793" t="n">
        <v>5</v>
      </c>
      <c r="AF793" t="n">
        <v>1</v>
      </c>
      <c r="AG793" t="n">
        <v>1</v>
      </c>
      <c r="AH793" t="n">
        <v>2</v>
      </c>
      <c r="AI793" t="n">
        <v>2</v>
      </c>
      <c r="AJ793" t="n">
        <v>3</v>
      </c>
      <c r="AK793" t="n">
        <v>3</v>
      </c>
      <c r="AL793" t="n">
        <v>1</v>
      </c>
      <c r="AM793" t="n">
        <v>1</v>
      </c>
      <c r="AN793" t="n">
        <v>0</v>
      </c>
      <c r="AO793" t="n">
        <v>0</v>
      </c>
      <c r="AP793" t="inlineStr">
        <is>
          <t>No</t>
        </is>
      </c>
      <c r="AQ793" t="inlineStr">
        <is>
          <t>Yes</t>
        </is>
      </c>
      <c r="AR793">
        <f>HYPERLINK("http://catalog.hathitrust.org/Record/101954545","HathiTrust Record")</f>
        <v/>
      </c>
      <c r="AS793">
        <f>HYPERLINK("https://creighton-primo.hosted.exlibrisgroup.com/primo-explore/search?tab=default_tab&amp;search_scope=EVERYTHING&amp;vid=01CRU&amp;lang=en_US&amp;offset=0&amp;query=any,contains,991004269129702656","Catalog Record")</f>
        <v/>
      </c>
      <c r="AT793">
        <f>HYPERLINK("http://www.worldcat.org/oclc/30680295","WorldCat Record")</f>
        <v/>
      </c>
      <c r="AU793" t="inlineStr">
        <is>
          <t>476657669:eng</t>
        </is>
      </c>
      <c r="AV793" t="inlineStr">
        <is>
          <t>30680295</t>
        </is>
      </c>
      <c r="AW793" t="inlineStr">
        <is>
          <t>991004269129702656</t>
        </is>
      </c>
      <c r="AX793" t="inlineStr">
        <is>
          <t>991004269129702656</t>
        </is>
      </c>
      <c r="AY793" t="inlineStr">
        <is>
          <t>2270584400002656</t>
        </is>
      </c>
      <c r="AZ793" t="inlineStr">
        <is>
          <t>BOOK</t>
        </is>
      </c>
      <c r="BB793" t="inlineStr">
        <is>
          <t>9783894736934</t>
        </is>
      </c>
      <c r="BC793" t="inlineStr">
        <is>
          <t>32285004906508</t>
        </is>
      </c>
      <c r="BD793" t="inlineStr">
        <is>
          <t>893788501</t>
        </is>
      </c>
    </row>
    <row r="794">
      <c r="A794" t="inlineStr">
        <is>
          <t>No</t>
        </is>
      </c>
      <c r="B794" t="inlineStr">
        <is>
          <t>PL8010 .M6</t>
        </is>
      </c>
      <c r="C794" t="inlineStr">
        <is>
          <t>0                      PL 8010000M  6</t>
        </is>
      </c>
      <c r="D794" t="inlineStr">
        <is>
          <t>Seven African writers.</t>
        </is>
      </c>
      <c r="F794" t="inlineStr">
        <is>
          <t>No</t>
        </is>
      </c>
      <c r="G794" t="inlineStr">
        <is>
          <t>1</t>
        </is>
      </c>
      <c r="H794" t="inlineStr">
        <is>
          <t>No</t>
        </is>
      </c>
      <c r="I794" t="inlineStr">
        <is>
          <t>No</t>
        </is>
      </c>
      <c r="J794" t="inlineStr">
        <is>
          <t>0</t>
        </is>
      </c>
      <c r="K794" t="inlineStr">
        <is>
          <t>Moore, Gerald, 1924-</t>
        </is>
      </c>
      <c r="L794" t="inlineStr">
        <is>
          <t>London : Oxford University Press, 1962.</t>
        </is>
      </c>
      <c r="M794" t="inlineStr">
        <is>
          <t>1962</t>
        </is>
      </c>
      <c r="O794" t="inlineStr">
        <is>
          <t>eng</t>
        </is>
      </c>
      <c r="P794" t="inlineStr">
        <is>
          <t>enk</t>
        </is>
      </c>
      <c r="Q794" t="inlineStr">
        <is>
          <t>Three crowns book</t>
        </is>
      </c>
      <c r="R794" t="inlineStr">
        <is>
          <t xml:space="preserve">PL </t>
        </is>
      </c>
      <c r="S794" t="n">
        <v>10</v>
      </c>
      <c r="T794" t="n">
        <v>10</v>
      </c>
      <c r="U794" t="inlineStr">
        <is>
          <t>2002-01-18</t>
        </is>
      </c>
      <c r="V794" t="inlineStr">
        <is>
          <t>2002-01-18</t>
        </is>
      </c>
      <c r="W794" t="inlineStr">
        <is>
          <t>1997-09-17</t>
        </is>
      </c>
      <c r="X794" t="inlineStr">
        <is>
          <t>1997-09-17</t>
        </is>
      </c>
      <c r="Y794" t="n">
        <v>477</v>
      </c>
      <c r="Z794" t="n">
        <v>355</v>
      </c>
      <c r="AA794" t="n">
        <v>505</v>
      </c>
      <c r="AB794" t="n">
        <v>3</v>
      </c>
      <c r="AC794" t="n">
        <v>5</v>
      </c>
      <c r="AD794" t="n">
        <v>8</v>
      </c>
      <c r="AE794" t="n">
        <v>15</v>
      </c>
      <c r="AF794" t="n">
        <v>0</v>
      </c>
      <c r="AG794" t="n">
        <v>1</v>
      </c>
      <c r="AH794" t="n">
        <v>4</v>
      </c>
      <c r="AI794" t="n">
        <v>4</v>
      </c>
      <c r="AJ794" t="n">
        <v>4</v>
      </c>
      <c r="AK794" t="n">
        <v>8</v>
      </c>
      <c r="AL794" t="n">
        <v>2</v>
      </c>
      <c r="AM794" t="n">
        <v>4</v>
      </c>
      <c r="AN794" t="n">
        <v>0</v>
      </c>
      <c r="AO794" t="n">
        <v>0</v>
      </c>
      <c r="AP794" t="inlineStr">
        <is>
          <t>No</t>
        </is>
      </c>
      <c r="AQ794" t="inlineStr">
        <is>
          <t>Yes</t>
        </is>
      </c>
      <c r="AR794">
        <f>HYPERLINK("http://catalog.hathitrust.org/Record/001004022","HathiTrust Record")</f>
        <v/>
      </c>
      <c r="AS794">
        <f>HYPERLINK("https://creighton-primo.hosted.exlibrisgroup.com/primo-explore/search?tab=default_tab&amp;search_scope=EVERYTHING&amp;vid=01CRU&amp;lang=en_US&amp;offset=0&amp;query=any,contains,991004227159702656","Catalog Record")</f>
        <v/>
      </c>
      <c r="AT794">
        <f>HYPERLINK("http://www.worldcat.org/oclc/2735042","WorldCat Record")</f>
        <v/>
      </c>
      <c r="AU794" t="inlineStr">
        <is>
          <t>1375175:eng</t>
        </is>
      </c>
      <c r="AV794" t="inlineStr">
        <is>
          <t>2735042</t>
        </is>
      </c>
      <c r="AW794" t="inlineStr">
        <is>
          <t>991004227159702656</t>
        </is>
      </c>
      <c r="AX794" t="inlineStr">
        <is>
          <t>991004227159702656</t>
        </is>
      </c>
      <c r="AY794" t="inlineStr">
        <is>
          <t>2259521600002656</t>
        </is>
      </c>
      <c r="AZ794" t="inlineStr">
        <is>
          <t>BOOK</t>
        </is>
      </c>
      <c r="BC794" t="inlineStr">
        <is>
          <t>32285003235545</t>
        </is>
      </c>
      <c r="BD794" t="inlineStr">
        <is>
          <t>893593438</t>
        </is>
      </c>
    </row>
    <row r="795">
      <c r="A795" t="inlineStr">
        <is>
          <t>No</t>
        </is>
      </c>
      <c r="B795" t="inlineStr">
        <is>
          <t>PL8010 .M7 1974</t>
        </is>
      </c>
      <c r="C795" t="inlineStr">
        <is>
          <t>0                      PL 8010000M  7           1974</t>
        </is>
      </c>
      <c r="D795" t="inlineStr">
        <is>
          <t>The African image.</t>
        </is>
      </c>
      <c r="F795" t="inlineStr">
        <is>
          <t>No</t>
        </is>
      </c>
      <c r="G795" t="inlineStr">
        <is>
          <t>1</t>
        </is>
      </c>
      <c r="H795" t="inlineStr">
        <is>
          <t>No</t>
        </is>
      </c>
      <c r="I795" t="inlineStr">
        <is>
          <t>No</t>
        </is>
      </c>
      <c r="J795" t="inlineStr">
        <is>
          <t>0</t>
        </is>
      </c>
      <c r="K795" t="inlineStr">
        <is>
          <t>Mphahlele, Es'kia, 1919-2008.</t>
        </is>
      </c>
      <c r="L795" t="inlineStr">
        <is>
          <t>New York, Praeger [1974]</t>
        </is>
      </c>
      <c r="M795" t="inlineStr">
        <is>
          <t>1974</t>
        </is>
      </c>
      <c r="N795" t="inlineStr">
        <is>
          <t>Rev. ed.</t>
        </is>
      </c>
      <c r="O795" t="inlineStr">
        <is>
          <t>eng</t>
        </is>
      </c>
      <c r="P795" t="inlineStr">
        <is>
          <t>nyu</t>
        </is>
      </c>
      <c r="R795" t="inlineStr">
        <is>
          <t xml:space="preserve">PL </t>
        </is>
      </c>
      <c r="S795" t="n">
        <v>3</v>
      </c>
      <c r="T795" t="n">
        <v>3</v>
      </c>
      <c r="U795" t="inlineStr">
        <is>
          <t>1999-12-30</t>
        </is>
      </c>
      <c r="V795" t="inlineStr">
        <is>
          <t>1999-12-30</t>
        </is>
      </c>
      <c r="W795" t="inlineStr">
        <is>
          <t>1997-09-17</t>
        </is>
      </c>
      <c r="X795" t="inlineStr">
        <is>
          <t>1997-09-17</t>
        </is>
      </c>
      <c r="Y795" t="n">
        <v>425</v>
      </c>
      <c r="Z795" t="n">
        <v>394</v>
      </c>
      <c r="AA795" t="n">
        <v>827</v>
      </c>
      <c r="AB795" t="n">
        <v>2</v>
      </c>
      <c r="AC795" t="n">
        <v>4</v>
      </c>
      <c r="AD795" t="n">
        <v>15</v>
      </c>
      <c r="AE795" t="n">
        <v>32</v>
      </c>
      <c r="AF795" t="n">
        <v>3</v>
      </c>
      <c r="AG795" t="n">
        <v>10</v>
      </c>
      <c r="AH795" t="n">
        <v>3</v>
      </c>
      <c r="AI795" t="n">
        <v>7</v>
      </c>
      <c r="AJ795" t="n">
        <v>11</v>
      </c>
      <c r="AK795" t="n">
        <v>20</v>
      </c>
      <c r="AL795" t="n">
        <v>1</v>
      </c>
      <c r="AM795" t="n">
        <v>3</v>
      </c>
      <c r="AN795" t="n">
        <v>0</v>
      </c>
      <c r="AO795" t="n">
        <v>0</v>
      </c>
      <c r="AP795" t="inlineStr">
        <is>
          <t>No</t>
        </is>
      </c>
      <c r="AQ795" t="inlineStr">
        <is>
          <t>No</t>
        </is>
      </c>
      <c r="AS795">
        <f>HYPERLINK("https://creighton-primo.hosted.exlibrisgroup.com/primo-explore/search?tab=default_tab&amp;search_scope=EVERYTHING&amp;vid=01CRU&amp;lang=en_US&amp;offset=0&amp;query=any,contains,991003219659702656","Catalog Record")</f>
        <v/>
      </c>
      <c r="AT795">
        <f>HYPERLINK("http://www.worldcat.org/oclc/745716","WorldCat Record")</f>
        <v/>
      </c>
      <c r="AU795" t="inlineStr">
        <is>
          <t>155962765:eng</t>
        </is>
      </c>
      <c r="AV795" t="inlineStr">
        <is>
          <t>745716</t>
        </is>
      </c>
      <c r="AW795" t="inlineStr">
        <is>
          <t>991003219659702656</t>
        </is>
      </c>
      <c r="AX795" t="inlineStr">
        <is>
          <t>991003219659702656</t>
        </is>
      </c>
      <c r="AY795" t="inlineStr">
        <is>
          <t>2268834600002656</t>
        </is>
      </c>
      <c r="AZ795" t="inlineStr">
        <is>
          <t>BOOK</t>
        </is>
      </c>
      <c r="BC795" t="inlineStr">
        <is>
          <t>32285003235552</t>
        </is>
      </c>
      <c r="BD795" t="inlineStr">
        <is>
          <t>893774519</t>
        </is>
      </c>
    </row>
    <row r="796">
      <c r="A796" t="inlineStr">
        <is>
          <t>No</t>
        </is>
      </c>
      <c r="B796" t="inlineStr">
        <is>
          <t>PL8010 .N49 2004</t>
        </is>
      </c>
      <c r="C796" t="inlineStr">
        <is>
          <t>0                      PL 8010000N  49          2004</t>
        </is>
      </c>
      <c r="D796" t="inlineStr">
        <is>
          <t>New women's writing in African literature : a review / editor, Ernest N. Emenyonu ; assistant editor, Patricia T. Emenyonu ; associate editors, Simon Gikandi ... [et al.].</t>
        </is>
      </c>
      <c r="F796" t="inlineStr">
        <is>
          <t>No</t>
        </is>
      </c>
      <c r="G796" t="inlineStr">
        <is>
          <t>1</t>
        </is>
      </c>
      <c r="H796" t="inlineStr">
        <is>
          <t>No</t>
        </is>
      </c>
      <c r="I796" t="inlineStr">
        <is>
          <t>No</t>
        </is>
      </c>
      <c r="J796" t="inlineStr">
        <is>
          <t>0</t>
        </is>
      </c>
      <c r="L796" t="inlineStr">
        <is>
          <t>Oxford : James Currey ; Trenton, NJ : Africa World Press, 2004.</t>
        </is>
      </c>
      <c r="M796" t="inlineStr">
        <is>
          <t>2004</t>
        </is>
      </c>
      <c r="O796" t="inlineStr">
        <is>
          <t>eng</t>
        </is>
      </c>
      <c r="P796" t="inlineStr">
        <is>
          <t>enk</t>
        </is>
      </c>
      <c r="Q796" t="inlineStr">
        <is>
          <t>African literature today ; 24</t>
        </is>
      </c>
      <c r="R796" t="inlineStr">
        <is>
          <t xml:space="preserve">PL </t>
        </is>
      </c>
      <c r="S796" t="n">
        <v>2</v>
      </c>
      <c r="T796" t="n">
        <v>2</v>
      </c>
      <c r="U796" t="inlineStr">
        <is>
          <t>2004-07-14</t>
        </is>
      </c>
      <c r="V796" t="inlineStr">
        <is>
          <t>2004-07-14</t>
        </is>
      </c>
      <c r="W796" t="inlineStr">
        <is>
          <t>2004-07-14</t>
        </is>
      </c>
      <c r="X796" t="inlineStr">
        <is>
          <t>2004-07-14</t>
        </is>
      </c>
      <c r="Y796" t="n">
        <v>55</v>
      </c>
      <c r="Z796" t="n">
        <v>40</v>
      </c>
      <c r="AA796" t="n">
        <v>127</v>
      </c>
      <c r="AB796" t="n">
        <v>2</v>
      </c>
      <c r="AC796" t="n">
        <v>3</v>
      </c>
      <c r="AD796" t="n">
        <v>2</v>
      </c>
      <c r="AE796" t="n">
        <v>7</v>
      </c>
      <c r="AF796" t="n">
        <v>0</v>
      </c>
      <c r="AG796" t="n">
        <v>1</v>
      </c>
      <c r="AH796" t="n">
        <v>0</v>
      </c>
      <c r="AI796" t="n">
        <v>3</v>
      </c>
      <c r="AJ796" t="n">
        <v>1</v>
      </c>
      <c r="AK796" t="n">
        <v>4</v>
      </c>
      <c r="AL796" t="n">
        <v>1</v>
      </c>
      <c r="AM796" t="n">
        <v>2</v>
      </c>
      <c r="AN796" t="n">
        <v>0</v>
      </c>
      <c r="AO796" t="n">
        <v>0</v>
      </c>
      <c r="AP796" t="inlineStr">
        <is>
          <t>No</t>
        </is>
      </c>
      <c r="AQ796" t="inlineStr">
        <is>
          <t>Yes</t>
        </is>
      </c>
      <c r="AR796">
        <f>HYPERLINK("http://catalog.hathitrust.org/Record/004732703","HathiTrust Record")</f>
        <v/>
      </c>
      <c r="AS796">
        <f>HYPERLINK("https://creighton-primo.hosted.exlibrisgroup.com/primo-explore/search?tab=default_tab&amp;search_scope=EVERYTHING&amp;vid=01CRU&amp;lang=en_US&amp;offset=0&amp;query=any,contains,991004308969702656","Catalog Record")</f>
        <v/>
      </c>
      <c r="AT796">
        <f>HYPERLINK("http://www.worldcat.org/oclc/51439350","WorldCat Record")</f>
        <v/>
      </c>
      <c r="AU796" t="inlineStr">
        <is>
          <t>840428055:eng</t>
        </is>
      </c>
      <c r="AV796" t="inlineStr">
        <is>
          <t>51439350</t>
        </is>
      </c>
      <c r="AW796" t="inlineStr">
        <is>
          <t>991004308969702656</t>
        </is>
      </c>
      <c r="AX796" t="inlineStr">
        <is>
          <t>991004308969702656</t>
        </is>
      </c>
      <c r="AY796" t="inlineStr">
        <is>
          <t>2268330640002656</t>
        </is>
      </c>
      <c r="AZ796" t="inlineStr">
        <is>
          <t>BOOK</t>
        </is>
      </c>
      <c r="BB796" t="inlineStr">
        <is>
          <t>9781592211340</t>
        </is>
      </c>
      <c r="BC796" t="inlineStr">
        <is>
          <t>32285004922216</t>
        </is>
      </c>
      <c r="BD796" t="inlineStr">
        <is>
          <t>893901092</t>
        </is>
      </c>
    </row>
    <row r="797">
      <c r="A797" t="inlineStr">
        <is>
          <t>No</t>
        </is>
      </c>
      <c r="B797" t="inlineStr">
        <is>
          <t>PL8010 .O33 2002</t>
        </is>
      </c>
      <c r="C797" t="inlineStr">
        <is>
          <t>0                      PL 8010000O  33          2002</t>
        </is>
      </c>
      <c r="D797" t="inlineStr">
        <is>
          <t>Culture, society, and politics in modern African literature : texts and contexts / Tanure Ojaide and Joseph Obi.</t>
        </is>
      </c>
      <c r="F797" t="inlineStr">
        <is>
          <t>No</t>
        </is>
      </c>
      <c r="G797" t="inlineStr">
        <is>
          <t>1</t>
        </is>
      </c>
      <c r="H797" t="inlineStr">
        <is>
          <t>No</t>
        </is>
      </c>
      <c r="I797" t="inlineStr">
        <is>
          <t>No</t>
        </is>
      </c>
      <c r="J797" t="inlineStr">
        <is>
          <t>0</t>
        </is>
      </c>
      <c r="K797" t="inlineStr">
        <is>
          <t>Ojaide, Tanure, 1948-</t>
        </is>
      </c>
      <c r="L797" t="inlineStr">
        <is>
          <t>Durham, N.C. : Carolina Academic Press, c2002.</t>
        </is>
      </c>
      <c r="M797" t="inlineStr">
        <is>
          <t>2002</t>
        </is>
      </c>
      <c r="O797" t="inlineStr">
        <is>
          <t>eng</t>
        </is>
      </c>
      <c r="P797" t="inlineStr">
        <is>
          <t>ncu</t>
        </is>
      </c>
      <c r="R797" t="inlineStr">
        <is>
          <t xml:space="preserve">PL </t>
        </is>
      </c>
      <c r="S797" t="n">
        <v>4</v>
      </c>
      <c r="T797" t="n">
        <v>4</v>
      </c>
      <c r="U797" t="inlineStr">
        <is>
          <t>2008-10-15</t>
        </is>
      </c>
      <c r="V797" t="inlineStr">
        <is>
          <t>2008-10-15</t>
        </is>
      </c>
      <c r="W797" t="inlineStr">
        <is>
          <t>2002-08-21</t>
        </is>
      </c>
      <c r="X797" t="inlineStr">
        <is>
          <t>2002-08-21</t>
        </is>
      </c>
      <c r="Y797" t="n">
        <v>177</v>
      </c>
      <c r="Z797" t="n">
        <v>146</v>
      </c>
      <c r="AA797" t="n">
        <v>147</v>
      </c>
      <c r="AB797" t="n">
        <v>3</v>
      </c>
      <c r="AC797" t="n">
        <v>3</v>
      </c>
      <c r="AD797" t="n">
        <v>8</v>
      </c>
      <c r="AE797" t="n">
        <v>8</v>
      </c>
      <c r="AF797" t="n">
        <v>1</v>
      </c>
      <c r="AG797" t="n">
        <v>1</v>
      </c>
      <c r="AH797" t="n">
        <v>2</v>
      </c>
      <c r="AI797" t="n">
        <v>2</v>
      </c>
      <c r="AJ797" t="n">
        <v>5</v>
      </c>
      <c r="AK797" t="n">
        <v>5</v>
      </c>
      <c r="AL797" t="n">
        <v>2</v>
      </c>
      <c r="AM797" t="n">
        <v>2</v>
      </c>
      <c r="AN797" t="n">
        <v>0</v>
      </c>
      <c r="AO797" t="n">
        <v>0</v>
      </c>
      <c r="AP797" t="inlineStr">
        <is>
          <t>No</t>
        </is>
      </c>
      <c r="AQ797" t="inlineStr">
        <is>
          <t>Yes</t>
        </is>
      </c>
      <c r="AR797">
        <f>HYPERLINK("http://catalog.hathitrust.org/Record/003615427","HathiTrust Record")</f>
        <v/>
      </c>
      <c r="AS797">
        <f>HYPERLINK("https://creighton-primo.hosted.exlibrisgroup.com/primo-explore/search?tab=default_tab&amp;search_scope=EVERYTHING&amp;vid=01CRU&amp;lang=en_US&amp;offset=0&amp;query=any,contains,991003849539702656","Catalog Record")</f>
        <v/>
      </c>
      <c r="AT797">
        <f>HYPERLINK("http://www.worldcat.org/oclc/48469129","WorldCat Record")</f>
        <v/>
      </c>
      <c r="AU797" t="inlineStr">
        <is>
          <t>1036724:eng</t>
        </is>
      </c>
      <c r="AV797" t="inlineStr">
        <is>
          <t>48469129</t>
        </is>
      </c>
      <c r="AW797" t="inlineStr">
        <is>
          <t>991003849539702656</t>
        </is>
      </c>
      <c r="AX797" t="inlineStr">
        <is>
          <t>991003849539702656</t>
        </is>
      </c>
      <c r="AY797" t="inlineStr">
        <is>
          <t>2268174410002656</t>
        </is>
      </c>
      <c r="AZ797" t="inlineStr">
        <is>
          <t>BOOK</t>
        </is>
      </c>
      <c r="BB797" t="inlineStr">
        <is>
          <t>9780890891421</t>
        </is>
      </c>
      <c r="BC797" t="inlineStr">
        <is>
          <t>32285004644521</t>
        </is>
      </c>
      <c r="BD797" t="inlineStr">
        <is>
          <t>893324607</t>
        </is>
      </c>
    </row>
    <row r="798">
      <c r="A798" t="inlineStr">
        <is>
          <t>No</t>
        </is>
      </c>
      <c r="B798" t="inlineStr">
        <is>
          <t>PL8010.6 .G55 1987</t>
        </is>
      </c>
      <c r="C798" t="inlineStr">
        <is>
          <t>0                      PL 8010600G  55          1987</t>
        </is>
      </c>
      <c r="D798" t="inlineStr">
        <is>
          <t>Reading the African novel / Simon Gikandi.</t>
        </is>
      </c>
      <c r="F798" t="inlineStr">
        <is>
          <t>No</t>
        </is>
      </c>
      <c r="G798" t="inlineStr">
        <is>
          <t>1</t>
        </is>
      </c>
      <c r="H798" t="inlineStr">
        <is>
          <t>No</t>
        </is>
      </c>
      <c r="I798" t="inlineStr">
        <is>
          <t>No</t>
        </is>
      </c>
      <c r="J798" t="inlineStr">
        <is>
          <t>0</t>
        </is>
      </c>
      <c r="K798" t="inlineStr">
        <is>
          <t>Gikandi, Simon.</t>
        </is>
      </c>
      <c r="L798" t="inlineStr">
        <is>
          <t>London : J. Currey ; Portsmouth, N.H. : Heinemann, 1987.</t>
        </is>
      </c>
      <c r="M798" t="inlineStr">
        <is>
          <t>1987</t>
        </is>
      </c>
      <c r="O798" t="inlineStr">
        <is>
          <t>eng</t>
        </is>
      </c>
      <c r="P798" t="inlineStr">
        <is>
          <t>enk</t>
        </is>
      </c>
      <c r="R798" t="inlineStr">
        <is>
          <t xml:space="preserve">PL </t>
        </is>
      </c>
      <c r="S798" t="n">
        <v>5</v>
      </c>
      <c r="T798" t="n">
        <v>5</v>
      </c>
      <c r="U798" t="inlineStr">
        <is>
          <t>2010-02-03</t>
        </is>
      </c>
      <c r="V798" t="inlineStr">
        <is>
          <t>2010-02-03</t>
        </is>
      </c>
      <c r="W798" t="inlineStr">
        <is>
          <t>2004-08-17</t>
        </is>
      </c>
      <c r="X798" t="inlineStr">
        <is>
          <t>2004-08-17</t>
        </is>
      </c>
      <c r="Y798" t="n">
        <v>622</v>
      </c>
      <c r="Z798" t="n">
        <v>460</v>
      </c>
      <c r="AA798" t="n">
        <v>467</v>
      </c>
      <c r="AB798" t="n">
        <v>4</v>
      </c>
      <c r="AC798" t="n">
        <v>4</v>
      </c>
      <c r="AD798" t="n">
        <v>22</v>
      </c>
      <c r="AE798" t="n">
        <v>22</v>
      </c>
      <c r="AF798" t="n">
        <v>8</v>
      </c>
      <c r="AG798" t="n">
        <v>8</v>
      </c>
      <c r="AH798" t="n">
        <v>4</v>
      </c>
      <c r="AI798" t="n">
        <v>4</v>
      </c>
      <c r="AJ798" t="n">
        <v>11</v>
      </c>
      <c r="AK798" t="n">
        <v>11</v>
      </c>
      <c r="AL798" t="n">
        <v>3</v>
      </c>
      <c r="AM798" t="n">
        <v>3</v>
      </c>
      <c r="AN798" t="n">
        <v>0</v>
      </c>
      <c r="AO798" t="n">
        <v>0</v>
      </c>
      <c r="AP798" t="inlineStr">
        <is>
          <t>No</t>
        </is>
      </c>
      <c r="AQ798" t="inlineStr">
        <is>
          <t>Yes</t>
        </is>
      </c>
      <c r="AR798">
        <f>HYPERLINK("http://catalog.hathitrust.org/Record/000872389","HathiTrust Record")</f>
        <v/>
      </c>
      <c r="AS798">
        <f>HYPERLINK("https://creighton-primo.hosted.exlibrisgroup.com/primo-explore/search?tab=default_tab&amp;search_scope=EVERYTHING&amp;vid=01CRU&amp;lang=en_US&amp;offset=0&amp;query=any,contains,991004342749702656","Catalog Record")</f>
        <v/>
      </c>
      <c r="AT798">
        <f>HYPERLINK("http://www.worldcat.org/oclc/13860762","WorldCat Record")</f>
        <v/>
      </c>
      <c r="AU798" t="inlineStr">
        <is>
          <t>7026032:eng</t>
        </is>
      </c>
      <c r="AV798" t="inlineStr">
        <is>
          <t>13860762</t>
        </is>
      </c>
      <c r="AW798" t="inlineStr">
        <is>
          <t>991004342749702656</t>
        </is>
      </c>
      <c r="AX798" t="inlineStr">
        <is>
          <t>991004342749702656</t>
        </is>
      </c>
      <c r="AY798" t="inlineStr">
        <is>
          <t>2262229330002656</t>
        </is>
      </c>
      <c r="AZ798" t="inlineStr">
        <is>
          <t>BOOK</t>
        </is>
      </c>
      <c r="BB798" t="inlineStr">
        <is>
          <t>9780435080181</t>
        </is>
      </c>
      <c r="BC798" t="inlineStr">
        <is>
          <t>32285004981832</t>
        </is>
      </c>
      <c r="BD798" t="inlineStr">
        <is>
          <t>893624622</t>
        </is>
      </c>
    </row>
    <row r="799">
      <c r="A799" t="inlineStr">
        <is>
          <t>No</t>
        </is>
      </c>
      <c r="B799" t="inlineStr">
        <is>
          <t>PL8013.E5 A37 2006</t>
        </is>
      </c>
      <c r="C799" t="inlineStr">
        <is>
          <t>0                      PL 8013000E  5                  A  37          2006</t>
        </is>
      </c>
      <c r="D799" t="inlineStr">
        <is>
          <t>Africa fresh : new voices from the first continent : a G21 Africa anthology / edited by Rod Amis.</t>
        </is>
      </c>
      <c r="F799" t="inlineStr">
        <is>
          <t>No</t>
        </is>
      </c>
      <c r="G799" t="inlineStr">
        <is>
          <t>1</t>
        </is>
      </c>
      <c r="H799" t="inlineStr">
        <is>
          <t>No</t>
        </is>
      </c>
      <c r="I799" t="inlineStr">
        <is>
          <t>No</t>
        </is>
      </c>
      <c r="J799" t="inlineStr">
        <is>
          <t>0</t>
        </is>
      </c>
      <c r="L799" t="inlineStr">
        <is>
          <t>[Austin, Tex.?] : G21, c2006.</t>
        </is>
      </c>
      <c r="M799" t="inlineStr">
        <is>
          <t>2006</t>
        </is>
      </c>
      <c r="O799" t="inlineStr">
        <is>
          <t>eng</t>
        </is>
      </c>
      <c r="P799" t="inlineStr">
        <is>
          <t>txu</t>
        </is>
      </c>
      <c r="R799" t="inlineStr">
        <is>
          <t xml:space="preserve">PL </t>
        </is>
      </c>
      <c r="S799" t="n">
        <v>1</v>
      </c>
      <c r="T799" t="n">
        <v>1</v>
      </c>
      <c r="U799" t="inlineStr">
        <is>
          <t>2007-01-29</t>
        </is>
      </c>
      <c r="V799" t="inlineStr">
        <is>
          <t>2007-01-29</t>
        </is>
      </c>
      <c r="W799" t="inlineStr">
        <is>
          <t>2007-01-29</t>
        </is>
      </c>
      <c r="X799" t="inlineStr">
        <is>
          <t>2007-01-29</t>
        </is>
      </c>
      <c r="Y799" t="n">
        <v>7</v>
      </c>
      <c r="Z799" t="n">
        <v>6</v>
      </c>
      <c r="AA799" t="n">
        <v>6</v>
      </c>
      <c r="AB799" t="n">
        <v>1</v>
      </c>
      <c r="AC799" t="n">
        <v>1</v>
      </c>
      <c r="AD799" t="n">
        <v>0</v>
      </c>
      <c r="AE799" t="n">
        <v>0</v>
      </c>
      <c r="AF799" t="n">
        <v>0</v>
      </c>
      <c r="AG799" t="n">
        <v>0</v>
      </c>
      <c r="AH799" t="n">
        <v>0</v>
      </c>
      <c r="AI799" t="n">
        <v>0</v>
      </c>
      <c r="AJ799" t="n">
        <v>0</v>
      </c>
      <c r="AK799" t="n">
        <v>0</v>
      </c>
      <c r="AL799" t="n">
        <v>0</v>
      </c>
      <c r="AM799" t="n">
        <v>0</v>
      </c>
      <c r="AN799" t="n">
        <v>0</v>
      </c>
      <c r="AO799" t="n">
        <v>0</v>
      </c>
      <c r="AP799" t="inlineStr">
        <is>
          <t>No</t>
        </is>
      </c>
      <c r="AQ799" t="inlineStr">
        <is>
          <t>No</t>
        </is>
      </c>
      <c r="AS799">
        <f>HYPERLINK("https://creighton-primo.hosted.exlibrisgroup.com/primo-explore/search?tab=default_tab&amp;search_scope=EVERYTHING&amp;vid=01CRU&amp;lang=en_US&amp;offset=0&amp;query=any,contains,991004769339702656","Catalog Record")</f>
        <v/>
      </c>
      <c r="AT799">
        <f>HYPERLINK("http://www.worldcat.org/oclc/76894030","WorldCat Record")</f>
        <v/>
      </c>
      <c r="AU799" t="inlineStr">
        <is>
          <t>62651276:eng</t>
        </is>
      </c>
      <c r="AV799" t="inlineStr">
        <is>
          <t>76894030</t>
        </is>
      </c>
      <c r="AW799" t="inlineStr">
        <is>
          <t>991004769339702656</t>
        </is>
      </c>
      <c r="AX799" t="inlineStr">
        <is>
          <t>991004769339702656</t>
        </is>
      </c>
      <c r="AY799" t="inlineStr">
        <is>
          <t>2255106590002656</t>
        </is>
      </c>
      <c r="AZ799" t="inlineStr">
        <is>
          <t>BOOK</t>
        </is>
      </c>
      <c r="BB799" t="inlineStr">
        <is>
          <t>9781411663978</t>
        </is>
      </c>
      <c r="BC799" t="inlineStr">
        <is>
          <t>32285005168561</t>
        </is>
      </c>
      <c r="BD799" t="inlineStr">
        <is>
          <t>893338115</t>
        </is>
      </c>
    </row>
    <row r="800">
      <c r="A800" t="inlineStr">
        <is>
          <t>No</t>
        </is>
      </c>
      <c r="B800" t="inlineStr">
        <is>
          <t>PL8013.E5 A4 1973</t>
        </is>
      </c>
      <c r="C800" t="inlineStr">
        <is>
          <t>0                      PL 8013000E  5                  A  4           1973</t>
        </is>
      </c>
      <c r="D800" t="inlineStr">
        <is>
          <t>Poems from Africa / selected by Samuel Allen. Drawings by Romare Bearden.</t>
        </is>
      </c>
      <c r="F800" t="inlineStr">
        <is>
          <t>No</t>
        </is>
      </c>
      <c r="G800" t="inlineStr">
        <is>
          <t>1</t>
        </is>
      </c>
      <c r="H800" t="inlineStr">
        <is>
          <t>No</t>
        </is>
      </c>
      <c r="I800" t="inlineStr">
        <is>
          <t>No</t>
        </is>
      </c>
      <c r="J800" t="inlineStr">
        <is>
          <t>0</t>
        </is>
      </c>
      <c r="K800" t="inlineStr">
        <is>
          <t>Allen, Samuel W. compiler.</t>
        </is>
      </c>
      <c r="L800" t="inlineStr">
        <is>
          <t>New York : Crowell, [1973]</t>
        </is>
      </c>
      <c r="M800" t="inlineStr">
        <is>
          <t>1973</t>
        </is>
      </c>
      <c r="O800" t="inlineStr">
        <is>
          <t>eng</t>
        </is>
      </c>
      <c r="P800" t="inlineStr">
        <is>
          <t>nyu</t>
        </is>
      </c>
      <c r="Q800" t="inlineStr">
        <is>
          <t>Poems of the world</t>
        </is>
      </c>
      <c r="R800" t="inlineStr">
        <is>
          <t xml:space="preserve">PL </t>
        </is>
      </c>
      <c r="S800" t="n">
        <v>5</v>
      </c>
      <c r="T800" t="n">
        <v>5</v>
      </c>
      <c r="U800" t="inlineStr">
        <is>
          <t>2001-03-14</t>
        </is>
      </c>
      <c r="V800" t="inlineStr">
        <is>
          <t>2001-03-14</t>
        </is>
      </c>
      <c r="W800" t="inlineStr">
        <is>
          <t>1992-06-04</t>
        </is>
      </c>
      <c r="X800" t="inlineStr">
        <is>
          <t>1992-06-04</t>
        </is>
      </c>
      <c r="Y800" t="n">
        <v>468</v>
      </c>
      <c r="Z800" t="n">
        <v>434</v>
      </c>
      <c r="AA800" t="n">
        <v>441</v>
      </c>
      <c r="AB800" t="n">
        <v>1</v>
      </c>
      <c r="AC800" t="n">
        <v>1</v>
      </c>
      <c r="AD800" t="n">
        <v>4</v>
      </c>
      <c r="AE800" t="n">
        <v>4</v>
      </c>
      <c r="AF800" t="n">
        <v>0</v>
      </c>
      <c r="AG800" t="n">
        <v>0</v>
      </c>
      <c r="AH800" t="n">
        <v>2</v>
      </c>
      <c r="AI800" t="n">
        <v>2</v>
      </c>
      <c r="AJ800" t="n">
        <v>3</v>
      </c>
      <c r="AK800" t="n">
        <v>3</v>
      </c>
      <c r="AL800" t="n">
        <v>0</v>
      </c>
      <c r="AM800" t="n">
        <v>0</v>
      </c>
      <c r="AN800" t="n">
        <v>0</v>
      </c>
      <c r="AO800" t="n">
        <v>0</v>
      </c>
      <c r="AP800" t="inlineStr">
        <is>
          <t>No</t>
        </is>
      </c>
      <c r="AQ800" t="inlineStr">
        <is>
          <t>Yes</t>
        </is>
      </c>
      <c r="AR800">
        <f>HYPERLINK("http://catalog.hathitrust.org/Record/004470515","HathiTrust Record")</f>
        <v/>
      </c>
      <c r="AS800">
        <f>HYPERLINK("https://creighton-primo.hosted.exlibrisgroup.com/primo-explore/search?tab=default_tab&amp;search_scope=EVERYTHING&amp;vid=01CRU&amp;lang=en_US&amp;offset=0&amp;query=any,contains,991002866469702656","Catalog Record")</f>
        <v/>
      </c>
      <c r="AT800">
        <f>HYPERLINK("http://www.worldcat.org/oclc/496850","WorldCat Record")</f>
        <v/>
      </c>
      <c r="AU800" t="inlineStr">
        <is>
          <t>440372:eng</t>
        </is>
      </c>
      <c r="AV800" t="inlineStr">
        <is>
          <t>496850</t>
        </is>
      </c>
      <c r="AW800" t="inlineStr">
        <is>
          <t>991002866469702656</t>
        </is>
      </c>
      <c r="AX800" t="inlineStr">
        <is>
          <t>991002866469702656</t>
        </is>
      </c>
      <c r="AY800" t="inlineStr">
        <is>
          <t>2271759610002656</t>
        </is>
      </c>
      <c r="AZ800" t="inlineStr">
        <is>
          <t>BOOK</t>
        </is>
      </c>
      <c r="BB800" t="inlineStr">
        <is>
          <t>9780690629750</t>
        </is>
      </c>
      <c r="BC800" t="inlineStr">
        <is>
          <t>32285001130342</t>
        </is>
      </c>
      <c r="BD800" t="inlineStr">
        <is>
          <t>893604153</t>
        </is>
      </c>
    </row>
    <row r="801">
      <c r="A801" t="inlineStr">
        <is>
          <t>No</t>
        </is>
      </c>
      <c r="B801" t="inlineStr">
        <is>
          <t>PL8013.E5 D3</t>
        </is>
      </c>
      <c r="C801" t="inlineStr">
        <is>
          <t>0                      PL 8013000E  5                  D  3</t>
        </is>
      </c>
      <c r="D801" t="inlineStr">
        <is>
          <t>Africa in prose, edited by O. R. Dathorne and Willfried Feuser.</t>
        </is>
      </c>
      <c r="F801" t="inlineStr">
        <is>
          <t>No</t>
        </is>
      </c>
      <c r="G801" t="inlineStr">
        <is>
          <t>1</t>
        </is>
      </c>
      <c r="H801" t="inlineStr">
        <is>
          <t>No</t>
        </is>
      </c>
      <c r="I801" t="inlineStr">
        <is>
          <t>No</t>
        </is>
      </c>
      <c r="J801" t="inlineStr">
        <is>
          <t>0</t>
        </is>
      </c>
      <c r="K801" t="inlineStr">
        <is>
          <t>Dathorne, O. R., 1934-, compiler.</t>
        </is>
      </c>
      <c r="L801" t="inlineStr">
        <is>
          <t>Baltimore, Penguin Books [1969]</t>
        </is>
      </c>
      <c r="M801" t="inlineStr">
        <is>
          <t>1969</t>
        </is>
      </c>
      <c r="O801" t="inlineStr">
        <is>
          <t>eng</t>
        </is>
      </c>
      <c r="P801" t="inlineStr">
        <is>
          <t>mdu</t>
        </is>
      </c>
      <c r="Q801" t="inlineStr">
        <is>
          <t>Penguin African library ; AP24</t>
        </is>
      </c>
      <c r="R801" t="inlineStr">
        <is>
          <t xml:space="preserve">PL </t>
        </is>
      </c>
      <c r="S801" t="n">
        <v>12</v>
      </c>
      <c r="T801" t="n">
        <v>12</v>
      </c>
      <c r="U801" t="inlineStr">
        <is>
          <t>2008-04-30</t>
        </is>
      </c>
      <c r="V801" t="inlineStr">
        <is>
          <t>2008-04-30</t>
        </is>
      </c>
      <c r="W801" t="inlineStr">
        <is>
          <t>1997-09-17</t>
        </is>
      </c>
      <c r="X801" t="inlineStr">
        <is>
          <t>1997-09-17</t>
        </is>
      </c>
      <c r="Y801" t="n">
        <v>308</v>
      </c>
      <c r="Z801" t="n">
        <v>265</v>
      </c>
      <c r="AA801" t="n">
        <v>289</v>
      </c>
      <c r="AB801" t="n">
        <v>1</v>
      </c>
      <c r="AC801" t="n">
        <v>2</v>
      </c>
      <c r="AD801" t="n">
        <v>6</v>
      </c>
      <c r="AE801" t="n">
        <v>8</v>
      </c>
      <c r="AF801" t="n">
        <v>2</v>
      </c>
      <c r="AG801" t="n">
        <v>2</v>
      </c>
      <c r="AH801" t="n">
        <v>2</v>
      </c>
      <c r="AI801" t="n">
        <v>2</v>
      </c>
      <c r="AJ801" t="n">
        <v>3</v>
      </c>
      <c r="AK801" t="n">
        <v>4</v>
      </c>
      <c r="AL801" t="n">
        <v>0</v>
      </c>
      <c r="AM801" t="n">
        <v>1</v>
      </c>
      <c r="AN801" t="n">
        <v>0</v>
      </c>
      <c r="AO801" t="n">
        <v>0</v>
      </c>
      <c r="AP801" t="inlineStr">
        <is>
          <t>No</t>
        </is>
      </c>
      <c r="AQ801" t="inlineStr">
        <is>
          <t>No</t>
        </is>
      </c>
      <c r="AS801">
        <f>HYPERLINK("https://creighton-primo.hosted.exlibrisgroup.com/primo-explore/search?tab=default_tab&amp;search_scope=EVERYTHING&amp;vid=01CRU&amp;lang=en_US&amp;offset=0&amp;query=any,contains,991000168059702656","Catalog Record")</f>
        <v/>
      </c>
      <c r="AT801">
        <f>HYPERLINK("http://www.worldcat.org/oclc/61749","WorldCat Record")</f>
        <v/>
      </c>
      <c r="AU801" t="inlineStr">
        <is>
          <t>1223641:eng</t>
        </is>
      </c>
      <c r="AV801" t="inlineStr">
        <is>
          <t>61749</t>
        </is>
      </c>
      <c r="AW801" t="inlineStr">
        <is>
          <t>991000168059702656</t>
        </is>
      </c>
      <c r="AX801" t="inlineStr">
        <is>
          <t>991000168059702656</t>
        </is>
      </c>
      <c r="AY801" t="inlineStr">
        <is>
          <t>2255381550002656</t>
        </is>
      </c>
      <c r="AZ801" t="inlineStr">
        <is>
          <t>BOOK</t>
        </is>
      </c>
      <c r="BC801" t="inlineStr">
        <is>
          <t>32285003235586</t>
        </is>
      </c>
      <c r="BD801" t="inlineStr">
        <is>
          <t>893413144</t>
        </is>
      </c>
    </row>
    <row r="802">
      <c r="A802" t="inlineStr">
        <is>
          <t>No</t>
        </is>
      </c>
      <c r="B802" t="inlineStr">
        <is>
          <t>PL8013.E5 D68 1963</t>
        </is>
      </c>
      <c r="C802" t="inlineStr">
        <is>
          <t>0                      PL 8013000E  5                  D  68          1963</t>
        </is>
      </c>
      <c r="D802" t="inlineStr">
        <is>
          <t>African heritage; intimate views of the Black Africans from life, lore, and literature. Pref. by Melville J. Herskovits.</t>
        </is>
      </c>
      <c r="F802" t="inlineStr">
        <is>
          <t>No</t>
        </is>
      </c>
      <c r="G802" t="inlineStr">
        <is>
          <t>1</t>
        </is>
      </c>
      <c r="H802" t="inlineStr">
        <is>
          <t>No</t>
        </is>
      </c>
      <c r="I802" t="inlineStr">
        <is>
          <t>No</t>
        </is>
      </c>
      <c r="J802" t="inlineStr">
        <is>
          <t>0</t>
        </is>
      </c>
      <c r="K802" t="inlineStr">
        <is>
          <t>Drachler, Jacob editor.</t>
        </is>
      </c>
      <c r="L802" t="inlineStr">
        <is>
          <t>[New York] Crowell-Collier Press [1963]</t>
        </is>
      </c>
      <c r="M802" t="inlineStr">
        <is>
          <t>1963</t>
        </is>
      </c>
      <c r="O802" t="inlineStr">
        <is>
          <t>eng</t>
        </is>
      </c>
      <c r="P802" t="inlineStr">
        <is>
          <t>nyu</t>
        </is>
      </c>
      <c r="R802" t="inlineStr">
        <is>
          <t xml:space="preserve">PL </t>
        </is>
      </c>
      <c r="S802" t="n">
        <v>2</v>
      </c>
      <c r="T802" t="n">
        <v>2</v>
      </c>
      <c r="U802" t="inlineStr">
        <is>
          <t>1997-10-14</t>
        </is>
      </c>
      <c r="V802" t="inlineStr">
        <is>
          <t>1997-10-14</t>
        </is>
      </c>
      <c r="W802" t="inlineStr">
        <is>
          <t>1997-09-17</t>
        </is>
      </c>
      <c r="X802" t="inlineStr">
        <is>
          <t>1997-09-17</t>
        </is>
      </c>
      <c r="Y802" t="n">
        <v>599</v>
      </c>
      <c r="Z802" t="n">
        <v>546</v>
      </c>
      <c r="AA802" t="n">
        <v>630</v>
      </c>
      <c r="AB802" t="n">
        <v>3</v>
      </c>
      <c r="AC802" t="n">
        <v>3</v>
      </c>
      <c r="AD802" t="n">
        <v>16</v>
      </c>
      <c r="AE802" t="n">
        <v>19</v>
      </c>
      <c r="AF802" t="n">
        <v>4</v>
      </c>
      <c r="AG802" t="n">
        <v>4</v>
      </c>
      <c r="AH802" t="n">
        <v>3</v>
      </c>
      <c r="AI802" t="n">
        <v>4</v>
      </c>
      <c r="AJ802" t="n">
        <v>8</v>
      </c>
      <c r="AK802" t="n">
        <v>11</v>
      </c>
      <c r="AL802" t="n">
        <v>2</v>
      </c>
      <c r="AM802" t="n">
        <v>2</v>
      </c>
      <c r="AN802" t="n">
        <v>0</v>
      </c>
      <c r="AO802" t="n">
        <v>0</v>
      </c>
      <c r="AP802" t="inlineStr">
        <is>
          <t>No</t>
        </is>
      </c>
      <c r="AQ802" t="inlineStr">
        <is>
          <t>Yes</t>
        </is>
      </c>
      <c r="AR802">
        <f>HYPERLINK("http://catalog.hathitrust.org/Record/001009696","HathiTrust Record")</f>
        <v/>
      </c>
      <c r="AS802">
        <f>HYPERLINK("https://creighton-primo.hosted.exlibrisgroup.com/primo-explore/search?tab=default_tab&amp;search_scope=EVERYTHING&amp;vid=01CRU&amp;lang=en_US&amp;offset=0&amp;query=any,contains,991003428409702656","Catalog Record")</f>
        <v/>
      </c>
      <c r="AT802">
        <f>HYPERLINK("http://www.worldcat.org/oclc/965042","WorldCat Record")</f>
        <v/>
      </c>
      <c r="AU802" t="inlineStr">
        <is>
          <t>569669:eng</t>
        </is>
      </c>
      <c r="AV802" t="inlineStr">
        <is>
          <t>965042</t>
        </is>
      </c>
      <c r="AW802" t="inlineStr">
        <is>
          <t>991003428409702656</t>
        </is>
      </c>
      <c r="AX802" t="inlineStr">
        <is>
          <t>991003428409702656</t>
        </is>
      </c>
      <c r="AY802" t="inlineStr">
        <is>
          <t>2258364970002656</t>
        </is>
      </c>
      <c r="AZ802" t="inlineStr">
        <is>
          <t>BOOK</t>
        </is>
      </c>
      <c r="BC802" t="inlineStr">
        <is>
          <t>32285003235594</t>
        </is>
      </c>
      <c r="BD802" t="inlineStr">
        <is>
          <t>893711363</t>
        </is>
      </c>
    </row>
    <row r="803">
      <c r="A803" t="inlineStr">
        <is>
          <t>No</t>
        </is>
      </c>
      <c r="B803" t="inlineStr">
        <is>
          <t>PL8013.E5 E3</t>
        </is>
      </c>
      <c r="C803" t="inlineStr">
        <is>
          <t>0                      PL 8013000E  5                  E  3</t>
        </is>
      </c>
      <c r="D803" t="inlineStr">
        <is>
          <t>Through African eyes.</t>
        </is>
      </c>
      <c r="E803" t="inlineStr">
        <is>
          <t>V.2</t>
        </is>
      </c>
      <c r="F803" t="inlineStr">
        <is>
          <t>Yes</t>
        </is>
      </c>
      <c r="G803" t="inlineStr">
        <is>
          <t>1</t>
        </is>
      </c>
      <c r="H803" t="inlineStr">
        <is>
          <t>No</t>
        </is>
      </c>
      <c r="I803" t="inlineStr">
        <is>
          <t>No</t>
        </is>
      </c>
      <c r="J803" t="inlineStr">
        <is>
          <t>0</t>
        </is>
      </c>
      <c r="L803" t="inlineStr">
        <is>
          <t>Cambridge : Cambridge University Press, 1966-</t>
        </is>
      </c>
      <c r="M803" t="inlineStr">
        <is>
          <t>1966</t>
        </is>
      </c>
      <c r="O803" t="inlineStr">
        <is>
          <t>eng</t>
        </is>
      </c>
      <c r="P803" t="inlineStr">
        <is>
          <t>enk</t>
        </is>
      </c>
      <c r="R803" t="inlineStr">
        <is>
          <t xml:space="preserve">PL </t>
        </is>
      </c>
      <c r="S803" t="n">
        <v>2</v>
      </c>
      <c r="T803" t="n">
        <v>5</v>
      </c>
      <c r="U803" t="inlineStr">
        <is>
          <t>1999-08-19</t>
        </is>
      </c>
      <c r="V803" t="inlineStr">
        <is>
          <t>1999-08-19</t>
        </is>
      </c>
      <c r="W803" t="inlineStr">
        <is>
          <t>1997-09-17</t>
        </is>
      </c>
      <c r="X803" t="inlineStr">
        <is>
          <t>1997-09-17</t>
        </is>
      </c>
      <c r="Y803" t="n">
        <v>91</v>
      </c>
      <c r="Z803" t="n">
        <v>59</v>
      </c>
      <c r="AA803" t="n">
        <v>61</v>
      </c>
      <c r="AB803" t="n">
        <v>1</v>
      </c>
      <c r="AC803" t="n">
        <v>1</v>
      </c>
      <c r="AD803" t="n">
        <v>0</v>
      </c>
      <c r="AE803" t="n">
        <v>0</v>
      </c>
      <c r="AF803" t="n">
        <v>0</v>
      </c>
      <c r="AG803" t="n">
        <v>0</v>
      </c>
      <c r="AH803" t="n">
        <v>0</v>
      </c>
      <c r="AI803" t="n">
        <v>0</v>
      </c>
      <c r="AJ803" t="n">
        <v>0</v>
      </c>
      <c r="AK803" t="n">
        <v>0</v>
      </c>
      <c r="AL803" t="n">
        <v>0</v>
      </c>
      <c r="AM803" t="n">
        <v>0</v>
      </c>
      <c r="AN803" t="n">
        <v>0</v>
      </c>
      <c r="AO803" t="n">
        <v>0</v>
      </c>
      <c r="AP803" t="inlineStr">
        <is>
          <t>No</t>
        </is>
      </c>
      <c r="AQ803" t="inlineStr">
        <is>
          <t>Yes</t>
        </is>
      </c>
      <c r="AR803">
        <f>HYPERLINK("http://catalog.hathitrust.org/Record/102034042","HathiTrust Record")</f>
        <v/>
      </c>
      <c r="AS803">
        <f>HYPERLINK("https://creighton-primo.hosted.exlibrisgroup.com/primo-explore/search?tab=default_tab&amp;search_scope=EVERYTHING&amp;vid=01CRU&amp;lang=en_US&amp;offset=0&amp;query=any,contains,991004160689702656","Catalog Record")</f>
        <v/>
      </c>
      <c r="AT803">
        <f>HYPERLINK("http://www.worldcat.org/oclc/2550800","WorldCat Record")</f>
        <v/>
      </c>
      <c r="AU803" t="inlineStr">
        <is>
          <t>10792690159:eng</t>
        </is>
      </c>
      <c r="AV803" t="inlineStr">
        <is>
          <t>2550800</t>
        </is>
      </c>
      <c r="AW803" t="inlineStr">
        <is>
          <t>991004160689702656</t>
        </is>
      </c>
      <c r="AX803" t="inlineStr">
        <is>
          <t>991004160689702656</t>
        </is>
      </c>
      <c r="AY803" t="inlineStr">
        <is>
          <t>2257008870002656</t>
        </is>
      </c>
      <c r="AZ803" t="inlineStr">
        <is>
          <t>BOOK</t>
        </is>
      </c>
      <c r="BC803" t="inlineStr">
        <is>
          <t>32285003235610</t>
        </is>
      </c>
      <c r="BD803" t="inlineStr">
        <is>
          <t>893417306</t>
        </is>
      </c>
    </row>
    <row r="804">
      <c r="A804" t="inlineStr">
        <is>
          <t>No</t>
        </is>
      </c>
      <c r="B804" t="inlineStr">
        <is>
          <t>PL8013.E5 E3</t>
        </is>
      </c>
      <c r="C804" t="inlineStr">
        <is>
          <t>0                      PL 8013000E  5                  E  3</t>
        </is>
      </c>
      <c r="D804" t="inlineStr">
        <is>
          <t>Through African eyes.</t>
        </is>
      </c>
      <c r="E804" t="inlineStr">
        <is>
          <t>V.1</t>
        </is>
      </c>
      <c r="F804" t="inlineStr">
        <is>
          <t>Yes</t>
        </is>
      </c>
      <c r="G804" t="inlineStr">
        <is>
          <t>1</t>
        </is>
      </c>
      <c r="H804" t="inlineStr">
        <is>
          <t>No</t>
        </is>
      </c>
      <c r="I804" t="inlineStr">
        <is>
          <t>No</t>
        </is>
      </c>
      <c r="J804" t="inlineStr">
        <is>
          <t>0</t>
        </is>
      </c>
      <c r="L804" t="inlineStr">
        <is>
          <t>Cambridge : Cambridge University Press, 1966-</t>
        </is>
      </c>
      <c r="M804" t="inlineStr">
        <is>
          <t>1966</t>
        </is>
      </c>
      <c r="O804" t="inlineStr">
        <is>
          <t>eng</t>
        </is>
      </c>
      <c r="P804" t="inlineStr">
        <is>
          <t>enk</t>
        </is>
      </c>
      <c r="R804" t="inlineStr">
        <is>
          <t xml:space="preserve">PL </t>
        </is>
      </c>
      <c r="S804" t="n">
        <v>3</v>
      </c>
      <c r="T804" t="n">
        <v>5</v>
      </c>
      <c r="U804" t="inlineStr">
        <is>
          <t>1999-08-19</t>
        </is>
      </c>
      <c r="V804" t="inlineStr">
        <is>
          <t>1999-08-19</t>
        </is>
      </c>
      <c r="W804" t="inlineStr">
        <is>
          <t>1997-09-17</t>
        </is>
      </c>
      <c r="X804" t="inlineStr">
        <is>
          <t>1997-09-17</t>
        </is>
      </c>
      <c r="Y804" t="n">
        <v>91</v>
      </c>
      <c r="Z804" t="n">
        <v>59</v>
      </c>
      <c r="AA804" t="n">
        <v>61</v>
      </c>
      <c r="AB804" t="n">
        <v>1</v>
      </c>
      <c r="AC804" t="n">
        <v>1</v>
      </c>
      <c r="AD804" t="n">
        <v>0</v>
      </c>
      <c r="AE804" t="n">
        <v>0</v>
      </c>
      <c r="AF804" t="n">
        <v>0</v>
      </c>
      <c r="AG804" t="n">
        <v>0</v>
      </c>
      <c r="AH804" t="n">
        <v>0</v>
      </c>
      <c r="AI804" t="n">
        <v>0</v>
      </c>
      <c r="AJ804" t="n">
        <v>0</v>
      </c>
      <c r="AK804" t="n">
        <v>0</v>
      </c>
      <c r="AL804" t="n">
        <v>0</v>
      </c>
      <c r="AM804" t="n">
        <v>0</v>
      </c>
      <c r="AN804" t="n">
        <v>0</v>
      </c>
      <c r="AO804" t="n">
        <v>0</v>
      </c>
      <c r="AP804" t="inlineStr">
        <is>
          <t>No</t>
        </is>
      </c>
      <c r="AQ804" t="inlineStr">
        <is>
          <t>Yes</t>
        </is>
      </c>
      <c r="AR804">
        <f>HYPERLINK("http://catalog.hathitrust.org/Record/102034042","HathiTrust Record")</f>
        <v/>
      </c>
      <c r="AS804">
        <f>HYPERLINK("https://creighton-primo.hosted.exlibrisgroup.com/primo-explore/search?tab=default_tab&amp;search_scope=EVERYTHING&amp;vid=01CRU&amp;lang=en_US&amp;offset=0&amp;query=any,contains,991004160689702656","Catalog Record")</f>
        <v/>
      </c>
      <c r="AT804">
        <f>HYPERLINK("http://www.worldcat.org/oclc/2550800","WorldCat Record")</f>
        <v/>
      </c>
      <c r="AU804" t="inlineStr">
        <is>
          <t>10792690159:eng</t>
        </is>
      </c>
      <c r="AV804" t="inlineStr">
        <is>
          <t>2550800</t>
        </is>
      </c>
      <c r="AW804" t="inlineStr">
        <is>
          <t>991004160689702656</t>
        </is>
      </c>
      <c r="AX804" t="inlineStr">
        <is>
          <t>991004160689702656</t>
        </is>
      </c>
      <c r="AY804" t="inlineStr">
        <is>
          <t>2257008870002656</t>
        </is>
      </c>
      <c r="AZ804" t="inlineStr">
        <is>
          <t>BOOK</t>
        </is>
      </c>
      <c r="BC804" t="inlineStr">
        <is>
          <t>32285003235602</t>
        </is>
      </c>
      <c r="BD804" t="inlineStr">
        <is>
          <t>893423454</t>
        </is>
      </c>
    </row>
    <row r="805">
      <c r="A805" t="inlineStr">
        <is>
          <t>No</t>
        </is>
      </c>
      <c r="B805" t="inlineStr">
        <is>
          <t>PL8013.E5 E45</t>
        </is>
      </c>
      <c r="C805" t="inlineStr">
        <is>
          <t>0                      PL 8013000E  5                  E  45</t>
        </is>
      </c>
      <c r="D805" t="inlineStr">
        <is>
          <t>Modern African narrative: an anthology, compiled by Paul Edwards.</t>
        </is>
      </c>
      <c r="F805" t="inlineStr">
        <is>
          <t>No</t>
        </is>
      </c>
      <c r="G805" t="inlineStr">
        <is>
          <t>1</t>
        </is>
      </c>
      <c r="H805" t="inlineStr">
        <is>
          <t>No</t>
        </is>
      </c>
      <c r="I805" t="inlineStr">
        <is>
          <t>No</t>
        </is>
      </c>
      <c r="J805" t="inlineStr">
        <is>
          <t>0</t>
        </is>
      </c>
      <c r="K805" t="inlineStr">
        <is>
          <t>Edwards, Paul, 1926-1992, compiler.</t>
        </is>
      </c>
      <c r="L805" t="inlineStr">
        <is>
          <t>London, Nelson, 1966.</t>
        </is>
      </c>
      <c r="M805" t="inlineStr">
        <is>
          <t>1966</t>
        </is>
      </c>
      <c r="O805" t="inlineStr">
        <is>
          <t>eng</t>
        </is>
      </c>
      <c r="P805" t="inlineStr">
        <is>
          <t>enk</t>
        </is>
      </c>
      <c r="R805" t="inlineStr">
        <is>
          <t xml:space="preserve">PL </t>
        </is>
      </c>
      <c r="S805" t="n">
        <v>4</v>
      </c>
      <c r="T805" t="n">
        <v>4</v>
      </c>
      <c r="U805" t="inlineStr">
        <is>
          <t>2002-04-13</t>
        </is>
      </c>
      <c r="V805" t="inlineStr">
        <is>
          <t>2002-04-13</t>
        </is>
      </c>
      <c r="W805" t="inlineStr">
        <is>
          <t>1997-09-17</t>
        </is>
      </c>
      <c r="X805" t="inlineStr">
        <is>
          <t>1997-09-17</t>
        </is>
      </c>
      <c r="Y805" t="n">
        <v>144</v>
      </c>
      <c r="Z805" t="n">
        <v>113</v>
      </c>
      <c r="AA805" t="n">
        <v>115</v>
      </c>
      <c r="AB805" t="n">
        <v>2</v>
      </c>
      <c r="AC805" t="n">
        <v>2</v>
      </c>
      <c r="AD805" t="n">
        <v>1</v>
      </c>
      <c r="AE805" t="n">
        <v>1</v>
      </c>
      <c r="AF805" t="n">
        <v>0</v>
      </c>
      <c r="AG805" t="n">
        <v>0</v>
      </c>
      <c r="AH805" t="n">
        <v>0</v>
      </c>
      <c r="AI805" t="n">
        <v>0</v>
      </c>
      <c r="AJ805" t="n">
        <v>0</v>
      </c>
      <c r="AK805" t="n">
        <v>0</v>
      </c>
      <c r="AL805" t="n">
        <v>1</v>
      </c>
      <c r="AM805" t="n">
        <v>1</v>
      </c>
      <c r="AN805" t="n">
        <v>0</v>
      </c>
      <c r="AO805" t="n">
        <v>0</v>
      </c>
      <c r="AP805" t="inlineStr">
        <is>
          <t>No</t>
        </is>
      </c>
      <c r="AQ805" t="inlineStr">
        <is>
          <t>No</t>
        </is>
      </c>
      <c r="AS805">
        <f>HYPERLINK("https://creighton-primo.hosted.exlibrisgroup.com/primo-explore/search?tab=default_tab&amp;search_scope=EVERYTHING&amp;vid=01CRU&amp;lang=en_US&amp;offset=0&amp;query=any,contains,991002194899702656","Catalog Record")</f>
        <v/>
      </c>
      <c r="AT805">
        <f>HYPERLINK("http://www.worldcat.org/oclc/282614","WorldCat Record")</f>
        <v/>
      </c>
      <c r="AU805" t="inlineStr">
        <is>
          <t>198706168:eng</t>
        </is>
      </c>
      <c r="AV805" t="inlineStr">
        <is>
          <t>282614</t>
        </is>
      </c>
      <c r="AW805" t="inlineStr">
        <is>
          <t>991002194899702656</t>
        </is>
      </c>
      <c r="AX805" t="inlineStr">
        <is>
          <t>991002194899702656</t>
        </is>
      </c>
      <c r="AY805" t="inlineStr">
        <is>
          <t>2266350480002656</t>
        </is>
      </c>
      <c r="AZ805" t="inlineStr">
        <is>
          <t>BOOK</t>
        </is>
      </c>
      <c r="BC805" t="inlineStr">
        <is>
          <t>32285003235628</t>
        </is>
      </c>
      <c r="BD805" t="inlineStr">
        <is>
          <t>893785833</t>
        </is>
      </c>
    </row>
    <row r="806">
      <c r="A806" t="inlineStr">
        <is>
          <t>No</t>
        </is>
      </c>
      <c r="B806" t="inlineStr">
        <is>
          <t>PL8013.E5 H45 1995</t>
        </is>
      </c>
      <c r="C806" t="inlineStr">
        <is>
          <t>0                      PL 8013000E  5                  H  45          1995</t>
        </is>
      </c>
      <c r="D806" t="inlineStr">
        <is>
          <t>The Heinemann book of African women's poetry / edited by Stella and Frank Chipasula.</t>
        </is>
      </c>
      <c r="F806" t="inlineStr">
        <is>
          <t>No</t>
        </is>
      </c>
      <c r="G806" t="inlineStr">
        <is>
          <t>1</t>
        </is>
      </c>
      <c r="H806" t="inlineStr">
        <is>
          <t>No</t>
        </is>
      </c>
      <c r="I806" t="inlineStr">
        <is>
          <t>No</t>
        </is>
      </c>
      <c r="J806" t="inlineStr">
        <is>
          <t>0</t>
        </is>
      </c>
      <c r="L806" t="inlineStr">
        <is>
          <t>London : Heinemann, c1995.</t>
        </is>
      </c>
      <c r="M806" t="inlineStr">
        <is>
          <t>1995</t>
        </is>
      </c>
      <c r="O806" t="inlineStr">
        <is>
          <t>eng</t>
        </is>
      </c>
      <c r="P806" t="inlineStr">
        <is>
          <t>enk</t>
        </is>
      </c>
      <c r="Q806" t="inlineStr">
        <is>
          <t>African writers series</t>
        </is>
      </c>
      <c r="R806" t="inlineStr">
        <is>
          <t xml:space="preserve">PL </t>
        </is>
      </c>
      <c r="S806" t="n">
        <v>5</v>
      </c>
      <c r="T806" t="n">
        <v>5</v>
      </c>
      <c r="U806" t="inlineStr">
        <is>
          <t>1999-04-26</t>
        </is>
      </c>
      <c r="V806" t="inlineStr">
        <is>
          <t>1999-04-26</t>
        </is>
      </c>
      <c r="W806" t="inlineStr">
        <is>
          <t>1995-08-21</t>
        </is>
      </c>
      <c r="X806" t="inlineStr">
        <is>
          <t>1995-08-21</t>
        </is>
      </c>
      <c r="Y806" t="n">
        <v>685</v>
      </c>
      <c r="Z806" t="n">
        <v>539</v>
      </c>
      <c r="AA806" t="n">
        <v>569</v>
      </c>
      <c r="AB806" t="n">
        <v>6</v>
      </c>
      <c r="AC806" t="n">
        <v>6</v>
      </c>
      <c r="AD806" t="n">
        <v>20</v>
      </c>
      <c r="AE806" t="n">
        <v>21</v>
      </c>
      <c r="AF806" t="n">
        <v>7</v>
      </c>
      <c r="AG806" t="n">
        <v>8</v>
      </c>
      <c r="AH806" t="n">
        <v>3</v>
      </c>
      <c r="AI806" t="n">
        <v>3</v>
      </c>
      <c r="AJ806" t="n">
        <v>11</v>
      </c>
      <c r="AK806" t="n">
        <v>11</v>
      </c>
      <c r="AL806" t="n">
        <v>4</v>
      </c>
      <c r="AM806" t="n">
        <v>4</v>
      </c>
      <c r="AN806" t="n">
        <v>0</v>
      </c>
      <c r="AO806" t="n">
        <v>0</v>
      </c>
      <c r="AP806" t="inlineStr">
        <is>
          <t>No</t>
        </is>
      </c>
      <c r="AQ806" t="inlineStr">
        <is>
          <t>Yes</t>
        </is>
      </c>
      <c r="AR806">
        <f>HYPERLINK("http://catalog.hathitrust.org/Record/003067503","HathiTrust Record")</f>
        <v/>
      </c>
      <c r="AS806">
        <f>HYPERLINK("https://creighton-primo.hosted.exlibrisgroup.com/primo-explore/search?tab=default_tab&amp;search_scope=EVERYTHING&amp;vid=01CRU&amp;lang=en_US&amp;offset=0&amp;query=any,contains,991002464099702656","Catalog Record")</f>
        <v/>
      </c>
      <c r="AT806">
        <f>HYPERLINK("http://www.worldcat.org/oclc/35587241","WorldCat Record")</f>
        <v/>
      </c>
      <c r="AU806" t="inlineStr">
        <is>
          <t>372556298:eng</t>
        </is>
      </c>
      <c r="AV806" t="inlineStr">
        <is>
          <t>35587241</t>
        </is>
      </c>
      <c r="AW806" t="inlineStr">
        <is>
          <t>991002464099702656</t>
        </is>
      </c>
      <c r="AX806" t="inlineStr">
        <is>
          <t>991002464099702656</t>
        </is>
      </c>
      <c r="AY806" t="inlineStr">
        <is>
          <t>2272258630002656</t>
        </is>
      </c>
      <c r="AZ806" t="inlineStr">
        <is>
          <t>BOOK</t>
        </is>
      </c>
      <c r="BB806" t="inlineStr">
        <is>
          <t>9780435906801</t>
        </is>
      </c>
      <c r="BC806" t="inlineStr">
        <is>
          <t>32285002078177</t>
        </is>
      </c>
      <c r="BD806" t="inlineStr">
        <is>
          <t>893335352</t>
        </is>
      </c>
    </row>
    <row r="807">
      <c r="A807" t="inlineStr">
        <is>
          <t>No</t>
        </is>
      </c>
      <c r="B807" t="inlineStr">
        <is>
          <t>PL8013.E5 H8</t>
        </is>
      </c>
      <c r="C807" t="inlineStr">
        <is>
          <t>0                      PL 8013000E  5                  H  8</t>
        </is>
      </c>
      <c r="D807" t="inlineStr">
        <is>
          <t>Poems from Black Africa : Ethiopia, South Rhodesia, Sierra Leone, Madagascar, Ivory Coast, Nigeria, Kenya, Gabon, Senegal, Nyasaland, Mozambique, South Africa, Congo, Ghana, Liberia.</t>
        </is>
      </c>
      <c r="F807" t="inlineStr">
        <is>
          <t>No</t>
        </is>
      </c>
      <c r="G807" t="inlineStr">
        <is>
          <t>1</t>
        </is>
      </c>
      <c r="H807" t="inlineStr">
        <is>
          <t>No</t>
        </is>
      </c>
      <c r="I807" t="inlineStr">
        <is>
          <t>No</t>
        </is>
      </c>
      <c r="J807" t="inlineStr">
        <is>
          <t>0</t>
        </is>
      </c>
      <c r="K807" t="inlineStr">
        <is>
          <t>Hughes, Langston, 1902-1967 editor.</t>
        </is>
      </c>
      <c r="L807" t="inlineStr">
        <is>
          <t>Bloomington : Indiana University Press, [1963]</t>
        </is>
      </c>
      <c r="M807" t="inlineStr">
        <is>
          <t>1963</t>
        </is>
      </c>
      <c r="O807" t="inlineStr">
        <is>
          <t>eng</t>
        </is>
      </c>
      <c r="P807" t="inlineStr">
        <is>
          <t>inu</t>
        </is>
      </c>
      <c r="Q807" t="inlineStr">
        <is>
          <t>Unesco collection of contemporary works</t>
        </is>
      </c>
      <c r="R807" t="inlineStr">
        <is>
          <t xml:space="preserve">PL </t>
        </is>
      </c>
      <c r="S807" t="n">
        <v>6</v>
      </c>
      <c r="T807" t="n">
        <v>6</v>
      </c>
      <c r="U807" t="inlineStr">
        <is>
          <t>1995-09-10</t>
        </is>
      </c>
      <c r="V807" t="inlineStr">
        <is>
          <t>1995-09-10</t>
        </is>
      </c>
      <c r="W807" t="inlineStr">
        <is>
          <t>1990-02-21</t>
        </is>
      </c>
      <c r="X807" t="inlineStr">
        <is>
          <t>1990-02-21</t>
        </is>
      </c>
      <c r="Y807" t="n">
        <v>1015</v>
      </c>
      <c r="Z807" t="n">
        <v>943</v>
      </c>
      <c r="AA807" t="n">
        <v>1060</v>
      </c>
      <c r="AB807" t="n">
        <v>8</v>
      </c>
      <c r="AC807" t="n">
        <v>8</v>
      </c>
      <c r="AD807" t="n">
        <v>28</v>
      </c>
      <c r="AE807" t="n">
        <v>32</v>
      </c>
      <c r="AF807" t="n">
        <v>11</v>
      </c>
      <c r="AG807" t="n">
        <v>14</v>
      </c>
      <c r="AH807" t="n">
        <v>7</v>
      </c>
      <c r="AI807" t="n">
        <v>7</v>
      </c>
      <c r="AJ807" t="n">
        <v>11</v>
      </c>
      <c r="AK807" t="n">
        <v>14</v>
      </c>
      <c r="AL807" t="n">
        <v>6</v>
      </c>
      <c r="AM807" t="n">
        <v>6</v>
      </c>
      <c r="AN807" t="n">
        <v>0</v>
      </c>
      <c r="AO807" t="n">
        <v>0</v>
      </c>
      <c r="AP807" t="inlineStr">
        <is>
          <t>No</t>
        </is>
      </c>
      <c r="AQ807" t="inlineStr">
        <is>
          <t>Yes</t>
        </is>
      </c>
      <c r="AR807">
        <f>HYPERLINK("http://catalog.hathitrust.org/Record/001009697","HathiTrust Record")</f>
        <v/>
      </c>
      <c r="AS807">
        <f>HYPERLINK("https://creighton-primo.hosted.exlibrisgroup.com/primo-explore/search?tab=default_tab&amp;search_scope=EVERYTHING&amp;vid=01CRU&amp;lang=en_US&amp;offset=0&amp;query=any,contains,991002432719702656","Catalog Record")</f>
        <v/>
      </c>
      <c r="AT807">
        <f>HYPERLINK("http://www.worldcat.org/oclc/347691","WorldCat Record")</f>
        <v/>
      </c>
      <c r="AU807" t="inlineStr">
        <is>
          <t>7213469057:eng</t>
        </is>
      </c>
      <c r="AV807" t="inlineStr">
        <is>
          <t>347691</t>
        </is>
      </c>
      <c r="AW807" t="inlineStr">
        <is>
          <t>991002432719702656</t>
        </is>
      </c>
      <c r="AX807" t="inlineStr">
        <is>
          <t>991002432719702656</t>
        </is>
      </c>
      <c r="AY807" t="inlineStr">
        <is>
          <t>2272557790002656</t>
        </is>
      </c>
      <c r="AZ807" t="inlineStr">
        <is>
          <t>BOOK</t>
        </is>
      </c>
      <c r="BC807" t="inlineStr">
        <is>
          <t>32285000048529</t>
        </is>
      </c>
      <c r="BD807" t="inlineStr">
        <is>
          <t>893239030</t>
        </is>
      </c>
    </row>
    <row r="808">
      <c r="A808" t="inlineStr">
        <is>
          <t>No</t>
        </is>
      </c>
      <c r="B808" t="inlineStr">
        <is>
          <t>PL8013.E5 M6 1968</t>
        </is>
      </c>
      <c r="C808" t="inlineStr">
        <is>
          <t>0                      PL 8013000E  5                  M  6           1968</t>
        </is>
      </c>
      <c r="D808" t="inlineStr">
        <is>
          <t>Modern poetry from Africa / edited by Gerald Moore and Ulli Beier.</t>
        </is>
      </c>
      <c r="F808" t="inlineStr">
        <is>
          <t>No</t>
        </is>
      </c>
      <c r="G808" t="inlineStr">
        <is>
          <t>1</t>
        </is>
      </c>
      <c r="H808" t="inlineStr">
        <is>
          <t>No</t>
        </is>
      </c>
      <c r="I808" t="inlineStr">
        <is>
          <t>No</t>
        </is>
      </c>
      <c r="J808" t="inlineStr">
        <is>
          <t>0</t>
        </is>
      </c>
      <c r="K808" t="inlineStr">
        <is>
          <t>Moore, Gerald, 1924-, editor.</t>
        </is>
      </c>
      <c r="L808" t="inlineStr">
        <is>
          <t>Harmondsworth : Penguin, 1966 [i.e. 1968]</t>
        </is>
      </c>
      <c r="M808" t="inlineStr">
        <is>
          <t>1968</t>
        </is>
      </c>
      <c r="N808" t="inlineStr">
        <is>
          <t>New ed., revised and enlarged.</t>
        </is>
      </c>
      <c r="O808" t="inlineStr">
        <is>
          <t>eng</t>
        </is>
      </c>
      <c r="P808" t="inlineStr">
        <is>
          <t>enk</t>
        </is>
      </c>
      <c r="Q808" t="inlineStr">
        <is>
          <t>Penguin African library ; AP7</t>
        </is>
      </c>
      <c r="R808" t="inlineStr">
        <is>
          <t xml:space="preserve">PL </t>
        </is>
      </c>
      <c r="S808" t="n">
        <v>3</v>
      </c>
      <c r="T808" t="n">
        <v>3</v>
      </c>
      <c r="U808" t="inlineStr">
        <is>
          <t>1995-09-10</t>
        </is>
      </c>
      <c r="V808" t="inlineStr">
        <is>
          <t>1995-09-10</t>
        </is>
      </c>
      <c r="W808" t="inlineStr">
        <is>
          <t>1992-06-04</t>
        </is>
      </c>
      <c r="X808" t="inlineStr">
        <is>
          <t>1992-06-04</t>
        </is>
      </c>
      <c r="Y808" t="n">
        <v>403</v>
      </c>
      <c r="Z808" t="n">
        <v>338</v>
      </c>
      <c r="AA808" t="n">
        <v>819</v>
      </c>
      <c r="AB808" t="n">
        <v>4</v>
      </c>
      <c r="AC808" t="n">
        <v>6</v>
      </c>
      <c r="AD808" t="n">
        <v>12</v>
      </c>
      <c r="AE808" t="n">
        <v>32</v>
      </c>
      <c r="AF808" t="n">
        <v>3</v>
      </c>
      <c r="AG808" t="n">
        <v>13</v>
      </c>
      <c r="AH808" t="n">
        <v>2</v>
      </c>
      <c r="AI808" t="n">
        <v>5</v>
      </c>
      <c r="AJ808" t="n">
        <v>8</v>
      </c>
      <c r="AK808" t="n">
        <v>15</v>
      </c>
      <c r="AL808" t="n">
        <v>2</v>
      </c>
      <c r="AM808" t="n">
        <v>4</v>
      </c>
      <c r="AN808" t="n">
        <v>0</v>
      </c>
      <c r="AO808" t="n">
        <v>0</v>
      </c>
      <c r="AP808" t="inlineStr">
        <is>
          <t>No</t>
        </is>
      </c>
      <c r="AQ808" t="inlineStr">
        <is>
          <t>Yes</t>
        </is>
      </c>
      <c r="AR808">
        <f>HYPERLINK("http://catalog.hathitrust.org/Record/001111008","HathiTrust Record")</f>
        <v/>
      </c>
      <c r="AS808">
        <f>HYPERLINK("https://creighton-primo.hosted.exlibrisgroup.com/primo-explore/search?tab=default_tab&amp;search_scope=EVERYTHING&amp;vid=01CRU&amp;lang=en_US&amp;offset=0&amp;query=any,contains,991000099069702656","Catalog Record")</f>
        <v/>
      </c>
      <c r="AT808">
        <f>HYPERLINK("http://www.worldcat.org/oclc/44177","WorldCat Record")</f>
        <v/>
      </c>
      <c r="AU808" t="inlineStr">
        <is>
          <t>344788187:eng</t>
        </is>
      </c>
      <c r="AV808" t="inlineStr">
        <is>
          <t>44177</t>
        </is>
      </c>
      <c r="AW808" t="inlineStr">
        <is>
          <t>991000099069702656</t>
        </is>
      </c>
      <c r="AX808" t="inlineStr">
        <is>
          <t>991000099069702656</t>
        </is>
      </c>
      <c r="AY808" t="inlineStr">
        <is>
          <t>2261074970002656</t>
        </is>
      </c>
      <c r="AZ808" t="inlineStr">
        <is>
          <t>BOOK</t>
        </is>
      </c>
      <c r="BC808" t="inlineStr">
        <is>
          <t>32285001130334</t>
        </is>
      </c>
      <c r="BD808" t="inlineStr">
        <is>
          <t>893790234</t>
        </is>
      </c>
    </row>
    <row r="809">
      <c r="A809" t="inlineStr">
        <is>
          <t>No</t>
        </is>
      </c>
      <c r="B809" t="inlineStr">
        <is>
          <t>PL8014.S63 C47 1996</t>
        </is>
      </c>
      <c r="C809" t="inlineStr">
        <is>
          <t>0                      PL 8014000S  63                 C  47          1996</t>
        </is>
      </c>
      <c r="D809" t="inlineStr">
        <is>
          <t>Southern African literatures / Michael Chapman.</t>
        </is>
      </c>
      <c r="F809" t="inlineStr">
        <is>
          <t>No</t>
        </is>
      </c>
      <c r="G809" t="inlineStr">
        <is>
          <t>1</t>
        </is>
      </c>
      <c r="H809" t="inlineStr">
        <is>
          <t>No</t>
        </is>
      </c>
      <c r="I809" t="inlineStr">
        <is>
          <t>No</t>
        </is>
      </c>
      <c r="J809" t="inlineStr">
        <is>
          <t>0</t>
        </is>
      </c>
      <c r="K809" t="inlineStr">
        <is>
          <t>Chapman, Michael (Michael J. F.)</t>
        </is>
      </c>
      <c r="L809" t="inlineStr">
        <is>
          <t>London ; New York : Longman, 1996.</t>
        </is>
      </c>
      <c r="M809" t="inlineStr">
        <is>
          <t>1996</t>
        </is>
      </c>
      <c r="O809" t="inlineStr">
        <is>
          <t>eng</t>
        </is>
      </c>
      <c r="P809" t="inlineStr">
        <is>
          <t>enk</t>
        </is>
      </c>
      <c r="Q809" t="inlineStr">
        <is>
          <t>Longman literature in English series</t>
        </is>
      </c>
      <c r="R809" t="inlineStr">
        <is>
          <t xml:space="preserve">PL </t>
        </is>
      </c>
      <c r="S809" t="n">
        <v>10</v>
      </c>
      <c r="T809" t="n">
        <v>10</v>
      </c>
      <c r="U809" t="inlineStr">
        <is>
          <t>2003-04-11</t>
        </is>
      </c>
      <c r="V809" t="inlineStr">
        <is>
          <t>2003-04-11</t>
        </is>
      </c>
      <c r="W809" t="inlineStr">
        <is>
          <t>1996-11-27</t>
        </is>
      </c>
      <c r="X809" t="inlineStr">
        <is>
          <t>1996-11-27</t>
        </is>
      </c>
      <c r="Y809" t="n">
        <v>609</v>
      </c>
      <c r="Z809" t="n">
        <v>476</v>
      </c>
      <c r="AA809" t="n">
        <v>510</v>
      </c>
      <c r="AB809" t="n">
        <v>3</v>
      </c>
      <c r="AC809" t="n">
        <v>3</v>
      </c>
      <c r="AD809" t="n">
        <v>22</v>
      </c>
      <c r="AE809" t="n">
        <v>24</v>
      </c>
      <c r="AF809" t="n">
        <v>9</v>
      </c>
      <c r="AG809" t="n">
        <v>11</v>
      </c>
      <c r="AH809" t="n">
        <v>5</v>
      </c>
      <c r="AI809" t="n">
        <v>5</v>
      </c>
      <c r="AJ809" t="n">
        <v>11</v>
      </c>
      <c r="AK809" t="n">
        <v>11</v>
      </c>
      <c r="AL809" t="n">
        <v>2</v>
      </c>
      <c r="AM809" t="n">
        <v>2</v>
      </c>
      <c r="AN809" t="n">
        <v>0</v>
      </c>
      <c r="AO809" t="n">
        <v>0</v>
      </c>
      <c r="AP809" t="inlineStr">
        <is>
          <t>No</t>
        </is>
      </c>
      <c r="AQ809" t="inlineStr">
        <is>
          <t>Yes</t>
        </is>
      </c>
      <c r="AR809">
        <f>HYPERLINK("http://catalog.hathitrust.org/Record/003058782","HathiTrust Record")</f>
        <v/>
      </c>
      <c r="AS809">
        <f>HYPERLINK("https://creighton-primo.hosted.exlibrisgroup.com/primo-explore/search?tab=default_tab&amp;search_scope=EVERYTHING&amp;vid=01CRU&amp;lang=en_US&amp;offset=0&amp;query=any,contains,991002486399702656","Catalog Record")</f>
        <v/>
      </c>
      <c r="AT809">
        <f>HYPERLINK("http://www.worldcat.org/oclc/32349265","WorldCat Record")</f>
        <v/>
      </c>
      <c r="AU809" t="inlineStr">
        <is>
          <t>818890:eng</t>
        </is>
      </c>
      <c r="AV809" t="inlineStr">
        <is>
          <t>32349265</t>
        </is>
      </c>
      <c r="AW809" t="inlineStr">
        <is>
          <t>991002486399702656</t>
        </is>
      </c>
      <c r="AX809" t="inlineStr">
        <is>
          <t>991002486399702656</t>
        </is>
      </c>
      <c r="AY809" t="inlineStr">
        <is>
          <t>2264089140002656</t>
        </is>
      </c>
      <c r="AZ809" t="inlineStr">
        <is>
          <t>BOOK</t>
        </is>
      </c>
      <c r="BB809" t="inlineStr">
        <is>
          <t>9780582053069</t>
        </is>
      </c>
      <c r="BC809" t="inlineStr">
        <is>
          <t>32285002386646</t>
        </is>
      </c>
      <c r="BD809" t="inlineStr">
        <is>
          <t>893498172</t>
        </is>
      </c>
    </row>
    <row r="810">
      <c r="A810" t="inlineStr">
        <is>
          <t>No</t>
        </is>
      </c>
      <c r="B810" t="inlineStr">
        <is>
          <t>PL8014.Z55 V47 2005</t>
        </is>
      </c>
      <c r="C810" t="inlineStr">
        <is>
          <t>0                      PL 8014000Z  55                 V  47          2005</t>
        </is>
      </c>
      <c r="D810" t="inlineStr">
        <is>
          <t>Versions of Zimbabwe : new approaches to literature and culture / edited by Robert Muponde and Ranka Primorac.</t>
        </is>
      </c>
      <c r="F810" t="inlineStr">
        <is>
          <t>No</t>
        </is>
      </c>
      <c r="G810" t="inlineStr">
        <is>
          <t>1</t>
        </is>
      </c>
      <c r="H810" t="inlineStr">
        <is>
          <t>No</t>
        </is>
      </c>
      <c r="I810" t="inlineStr">
        <is>
          <t>No</t>
        </is>
      </c>
      <c r="J810" t="inlineStr">
        <is>
          <t>0</t>
        </is>
      </c>
      <c r="L810" t="inlineStr">
        <is>
          <t>Harare : Weaver Press ; Oxford : Distributed in the UK and US by the African Book Collective, c2005.</t>
        </is>
      </c>
      <c r="M810" t="inlineStr">
        <is>
          <t>2005</t>
        </is>
      </c>
      <c r="O810" t="inlineStr">
        <is>
          <t>eng</t>
        </is>
      </c>
      <c r="P810" t="inlineStr">
        <is>
          <t xml:space="preserve">rh </t>
        </is>
      </c>
      <c r="R810" t="inlineStr">
        <is>
          <t xml:space="preserve">PL </t>
        </is>
      </c>
      <c r="S810" t="n">
        <v>1</v>
      </c>
      <c r="T810" t="n">
        <v>1</v>
      </c>
      <c r="U810" t="inlineStr">
        <is>
          <t>2009-10-13</t>
        </is>
      </c>
      <c r="V810" t="inlineStr">
        <is>
          <t>2009-10-13</t>
        </is>
      </c>
      <c r="W810" t="inlineStr">
        <is>
          <t>2009-10-13</t>
        </is>
      </c>
      <c r="X810" t="inlineStr">
        <is>
          <t>2009-10-13</t>
        </is>
      </c>
      <c r="Y810" t="n">
        <v>141</v>
      </c>
      <c r="Z810" t="n">
        <v>99</v>
      </c>
      <c r="AA810" t="n">
        <v>101</v>
      </c>
      <c r="AB810" t="n">
        <v>2</v>
      </c>
      <c r="AC810" t="n">
        <v>2</v>
      </c>
      <c r="AD810" t="n">
        <v>3</v>
      </c>
      <c r="AE810" t="n">
        <v>3</v>
      </c>
      <c r="AF810" t="n">
        <v>0</v>
      </c>
      <c r="AG810" t="n">
        <v>0</v>
      </c>
      <c r="AH810" t="n">
        <v>1</v>
      </c>
      <c r="AI810" t="n">
        <v>1</v>
      </c>
      <c r="AJ810" t="n">
        <v>2</v>
      </c>
      <c r="AK810" t="n">
        <v>2</v>
      </c>
      <c r="AL810" t="n">
        <v>1</v>
      </c>
      <c r="AM810" t="n">
        <v>1</v>
      </c>
      <c r="AN810" t="n">
        <v>0</v>
      </c>
      <c r="AO810" t="n">
        <v>0</v>
      </c>
      <c r="AP810" t="inlineStr">
        <is>
          <t>No</t>
        </is>
      </c>
      <c r="AQ810" t="inlineStr">
        <is>
          <t>Yes</t>
        </is>
      </c>
      <c r="AR810">
        <f>HYPERLINK("http://catalog.hathitrust.org/Record/007146071","HathiTrust Record")</f>
        <v/>
      </c>
      <c r="AS810">
        <f>HYPERLINK("https://creighton-primo.hosted.exlibrisgroup.com/primo-explore/search?tab=default_tab&amp;search_scope=EVERYTHING&amp;vid=01CRU&amp;lang=en_US&amp;offset=0&amp;query=any,contains,991005339369702656","Catalog Record")</f>
        <v/>
      </c>
      <c r="AT810">
        <f>HYPERLINK("http://www.worldcat.org/oclc/61408773","WorldCat Record")</f>
        <v/>
      </c>
      <c r="AU810" t="inlineStr">
        <is>
          <t>478265071:eng</t>
        </is>
      </c>
      <c r="AV810" t="inlineStr">
        <is>
          <t>61408773</t>
        </is>
      </c>
      <c r="AW810" t="inlineStr">
        <is>
          <t>991005339369702656</t>
        </is>
      </c>
      <c r="AX810" t="inlineStr">
        <is>
          <t>991005339369702656</t>
        </is>
      </c>
      <c r="AY810" t="inlineStr">
        <is>
          <t>2266821340002656</t>
        </is>
      </c>
      <c r="AZ810" t="inlineStr">
        <is>
          <t>BOOK</t>
        </is>
      </c>
      <c r="BB810" t="inlineStr">
        <is>
          <t>9781779220363</t>
        </is>
      </c>
      <c r="BC810" t="inlineStr">
        <is>
          <t>32285005547525</t>
        </is>
      </c>
      <c r="BD810" t="inlineStr">
        <is>
          <t>893896242</t>
        </is>
      </c>
    </row>
    <row r="811">
      <c r="A811" t="inlineStr">
        <is>
          <t>No</t>
        </is>
      </c>
      <c r="B811" t="inlineStr">
        <is>
          <t>PL8017 .L24 1968</t>
        </is>
      </c>
      <c r="C811" t="inlineStr">
        <is>
          <t>0                      PL 8017000L  24          1968</t>
        </is>
      </c>
      <c r="D811" t="inlineStr">
        <is>
          <t>A phonetic study of West African languages: an auditory-instrumental survey.</t>
        </is>
      </c>
      <c r="F811" t="inlineStr">
        <is>
          <t>No</t>
        </is>
      </c>
      <c r="G811" t="inlineStr">
        <is>
          <t>1</t>
        </is>
      </c>
      <c r="H811" t="inlineStr">
        <is>
          <t>No</t>
        </is>
      </c>
      <c r="I811" t="inlineStr">
        <is>
          <t>No</t>
        </is>
      </c>
      <c r="J811" t="inlineStr">
        <is>
          <t>0</t>
        </is>
      </c>
      <c r="K811" t="inlineStr">
        <is>
          <t>Ladefoged, Peter.</t>
        </is>
      </c>
      <c r="L811" t="inlineStr">
        <is>
          <t>Cambridge, London, Cambridge U.P., 1968.</t>
        </is>
      </c>
      <c r="M811" t="inlineStr">
        <is>
          <t>1968</t>
        </is>
      </c>
      <c r="N811" t="inlineStr">
        <is>
          <t>2nd ed.</t>
        </is>
      </c>
      <c r="O811" t="inlineStr">
        <is>
          <t>eng</t>
        </is>
      </c>
      <c r="P811" t="inlineStr">
        <is>
          <t>enk</t>
        </is>
      </c>
      <c r="R811" t="inlineStr">
        <is>
          <t xml:space="preserve">PL </t>
        </is>
      </c>
      <c r="S811" t="n">
        <v>2</v>
      </c>
      <c r="T811" t="n">
        <v>2</v>
      </c>
      <c r="U811" t="inlineStr">
        <is>
          <t>1997-09-17</t>
        </is>
      </c>
      <c r="V811" t="inlineStr">
        <is>
          <t>1997-09-17</t>
        </is>
      </c>
      <c r="W811" t="inlineStr">
        <is>
          <t>1997-09-17</t>
        </is>
      </c>
      <c r="X811" t="inlineStr">
        <is>
          <t>1997-09-17</t>
        </is>
      </c>
      <c r="Y811" t="n">
        <v>272</v>
      </c>
      <c r="Z811" t="n">
        <v>196</v>
      </c>
      <c r="AA811" t="n">
        <v>245</v>
      </c>
      <c r="AB811" t="n">
        <v>2</v>
      </c>
      <c r="AC811" t="n">
        <v>2</v>
      </c>
      <c r="AD811" t="n">
        <v>10</v>
      </c>
      <c r="AE811" t="n">
        <v>11</v>
      </c>
      <c r="AF811" t="n">
        <v>2</v>
      </c>
      <c r="AG811" t="n">
        <v>3</v>
      </c>
      <c r="AH811" t="n">
        <v>3</v>
      </c>
      <c r="AI811" t="n">
        <v>3</v>
      </c>
      <c r="AJ811" t="n">
        <v>6</v>
      </c>
      <c r="AK811" t="n">
        <v>6</v>
      </c>
      <c r="AL811" t="n">
        <v>1</v>
      </c>
      <c r="AM811" t="n">
        <v>1</v>
      </c>
      <c r="AN811" t="n">
        <v>0</v>
      </c>
      <c r="AO811" t="n">
        <v>0</v>
      </c>
      <c r="AP811" t="inlineStr">
        <is>
          <t>No</t>
        </is>
      </c>
      <c r="AQ811" t="inlineStr">
        <is>
          <t>No</t>
        </is>
      </c>
      <c r="AS811">
        <f>HYPERLINK("https://creighton-primo.hosted.exlibrisgroup.com/primo-explore/search?tab=default_tab&amp;search_scope=EVERYTHING&amp;vid=01CRU&amp;lang=en_US&amp;offset=0&amp;query=any,contains,991002612069702656","Catalog Record")</f>
        <v/>
      </c>
      <c r="AT811">
        <f>HYPERLINK("http://www.worldcat.org/oclc/378101","WorldCat Record")</f>
        <v/>
      </c>
      <c r="AU811" t="inlineStr">
        <is>
          <t>432297768:eng</t>
        </is>
      </c>
      <c r="AV811" t="inlineStr">
        <is>
          <t>378101</t>
        </is>
      </c>
      <c r="AW811" t="inlineStr">
        <is>
          <t>991002612069702656</t>
        </is>
      </c>
      <c r="AX811" t="inlineStr">
        <is>
          <t>991002612069702656</t>
        </is>
      </c>
      <c r="AY811" t="inlineStr">
        <is>
          <t>2264441380002656</t>
        </is>
      </c>
      <c r="AZ811" t="inlineStr">
        <is>
          <t>BOOK</t>
        </is>
      </c>
      <c r="BB811" t="inlineStr">
        <is>
          <t>9780521069632</t>
        </is>
      </c>
      <c r="BC811" t="inlineStr">
        <is>
          <t>32285003235636</t>
        </is>
      </c>
      <c r="BD811" t="inlineStr">
        <is>
          <t>893440314</t>
        </is>
      </c>
    </row>
    <row r="812">
      <c r="A812" t="inlineStr">
        <is>
          <t>No</t>
        </is>
      </c>
      <c r="B812" t="inlineStr">
        <is>
          <t>PL8041.9.P3 W413 1984</t>
        </is>
      </c>
      <c r="C812" t="inlineStr">
        <is>
          <t>0                      PL 8041900P  3                  W  413         1984</t>
        </is>
      </c>
      <c r="D812" t="inlineStr">
        <is>
          <t>Song of Lawino ; &amp;, Song of Ocol / Okot p'Bitek ; introduction by G.A. Heron ; illustrations by Frank Horley.</t>
        </is>
      </c>
      <c r="F812" t="inlineStr">
        <is>
          <t>No</t>
        </is>
      </c>
      <c r="G812" t="inlineStr">
        <is>
          <t>1</t>
        </is>
      </c>
      <c r="H812" t="inlineStr">
        <is>
          <t>No</t>
        </is>
      </c>
      <c r="I812" t="inlineStr">
        <is>
          <t>No</t>
        </is>
      </c>
      <c r="J812" t="inlineStr">
        <is>
          <t>0</t>
        </is>
      </c>
      <c r="K812" t="inlineStr">
        <is>
          <t>p'Bitek, Okot, 1931-1982.</t>
        </is>
      </c>
      <c r="L812" t="inlineStr">
        <is>
          <t>London : Heinemann, 1984.</t>
        </is>
      </c>
      <c r="M812" t="inlineStr">
        <is>
          <t>1984</t>
        </is>
      </c>
      <c r="O812" t="inlineStr">
        <is>
          <t>eng</t>
        </is>
      </c>
      <c r="P812" t="inlineStr">
        <is>
          <t>enk</t>
        </is>
      </c>
      <c r="Q812" t="inlineStr">
        <is>
          <t>African writers series ; 266</t>
        </is>
      </c>
      <c r="R812" t="inlineStr">
        <is>
          <t xml:space="preserve">PL </t>
        </is>
      </c>
      <c r="S812" t="n">
        <v>4</v>
      </c>
      <c r="T812" t="n">
        <v>4</v>
      </c>
      <c r="U812" t="inlineStr">
        <is>
          <t>2010-03-31</t>
        </is>
      </c>
      <c r="V812" t="inlineStr">
        <is>
          <t>2010-03-31</t>
        </is>
      </c>
      <c r="W812" t="inlineStr">
        <is>
          <t>1998-10-07</t>
        </is>
      </c>
      <c r="X812" t="inlineStr">
        <is>
          <t>1998-10-07</t>
        </is>
      </c>
      <c r="Y812" t="n">
        <v>464</v>
      </c>
      <c r="Z812" t="n">
        <v>362</v>
      </c>
      <c r="AA812" t="n">
        <v>385</v>
      </c>
      <c r="AB812" t="n">
        <v>2</v>
      </c>
      <c r="AC812" t="n">
        <v>2</v>
      </c>
      <c r="AD812" t="n">
        <v>12</v>
      </c>
      <c r="AE812" t="n">
        <v>13</v>
      </c>
      <c r="AF812" t="n">
        <v>6</v>
      </c>
      <c r="AG812" t="n">
        <v>7</v>
      </c>
      <c r="AH812" t="n">
        <v>3</v>
      </c>
      <c r="AI812" t="n">
        <v>3</v>
      </c>
      <c r="AJ812" t="n">
        <v>5</v>
      </c>
      <c r="AK812" t="n">
        <v>5</v>
      </c>
      <c r="AL812" t="n">
        <v>1</v>
      </c>
      <c r="AM812" t="n">
        <v>1</v>
      </c>
      <c r="AN812" t="n">
        <v>0</v>
      </c>
      <c r="AO812" t="n">
        <v>0</v>
      </c>
      <c r="AP812" t="inlineStr">
        <is>
          <t>No</t>
        </is>
      </c>
      <c r="AQ812" t="inlineStr">
        <is>
          <t>No</t>
        </is>
      </c>
      <c r="AS812">
        <f>HYPERLINK("https://creighton-primo.hosted.exlibrisgroup.com/primo-explore/search?tab=default_tab&amp;search_scope=EVERYTHING&amp;vid=01CRU&amp;lang=en_US&amp;offset=0&amp;query=any,contains,991000690939702656","Catalog Record")</f>
        <v/>
      </c>
      <c r="AT812">
        <f>HYPERLINK("http://www.worldcat.org/oclc/12474219","WorldCat Record")</f>
        <v/>
      </c>
      <c r="AU812" t="inlineStr">
        <is>
          <t>10596586139:eng</t>
        </is>
      </c>
      <c r="AV812" t="inlineStr">
        <is>
          <t>12474219</t>
        </is>
      </c>
      <c r="AW812" t="inlineStr">
        <is>
          <t>991000690939702656</t>
        </is>
      </c>
      <c r="AX812" t="inlineStr">
        <is>
          <t>991000690939702656</t>
        </is>
      </c>
      <c r="AY812" t="inlineStr">
        <is>
          <t>2259613490002656</t>
        </is>
      </c>
      <c r="AZ812" t="inlineStr">
        <is>
          <t>BOOK</t>
        </is>
      </c>
      <c r="BB812" t="inlineStr">
        <is>
          <t>9780435902667</t>
        </is>
      </c>
      <c r="BC812" t="inlineStr">
        <is>
          <t>32285003472940</t>
        </is>
      </c>
      <c r="BD812" t="inlineStr">
        <is>
          <t>893515524</t>
        </is>
      </c>
    </row>
    <row r="813">
      <c r="A813" t="inlineStr">
        <is>
          <t>No</t>
        </is>
      </c>
      <c r="B813" t="inlineStr">
        <is>
          <t>PL809.Z9 A25 1996</t>
        </is>
      </c>
      <c r="C813" t="inlineStr">
        <is>
          <t>0                      PL 0809000Z  9                  A  25          1996</t>
        </is>
      </c>
      <c r="D813" t="inlineStr">
        <is>
          <t>Japanese gothic tales / Izumi Kyōka ; translated by Charles Shirō Inouye.</t>
        </is>
      </c>
      <c r="F813" t="inlineStr">
        <is>
          <t>No</t>
        </is>
      </c>
      <c r="G813" t="inlineStr">
        <is>
          <t>1</t>
        </is>
      </c>
      <c r="H813" t="inlineStr">
        <is>
          <t>No</t>
        </is>
      </c>
      <c r="I813" t="inlineStr">
        <is>
          <t>No</t>
        </is>
      </c>
      <c r="J813" t="inlineStr">
        <is>
          <t>0</t>
        </is>
      </c>
      <c r="K813" t="inlineStr">
        <is>
          <t>Izumi, Kyōka, 1873-1939.</t>
        </is>
      </c>
      <c r="L813" t="inlineStr">
        <is>
          <t>Honolulu : University of Hawai ̀i Press, 1996.</t>
        </is>
      </c>
      <c r="M813" t="inlineStr">
        <is>
          <t>1996</t>
        </is>
      </c>
      <c r="O813" t="inlineStr">
        <is>
          <t>eng</t>
        </is>
      </c>
      <c r="P813" t="inlineStr">
        <is>
          <t>hiu</t>
        </is>
      </c>
      <c r="R813" t="inlineStr">
        <is>
          <t xml:space="preserve">PL </t>
        </is>
      </c>
      <c r="S813" t="n">
        <v>7</v>
      </c>
      <c r="T813" t="n">
        <v>7</v>
      </c>
      <c r="U813" t="inlineStr">
        <is>
          <t>2001-10-29</t>
        </is>
      </c>
      <c r="V813" t="inlineStr">
        <is>
          <t>2001-10-29</t>
        </is>
      </c>
      <c r="W813" t="inlineStr">
        <is>
          <t>1999-10-11</t>
        </is>
      </c>
      <c r="X813" t="inlineStr">
        <is>
          <t>1999-10-11</t>
        </is>
      </c>
      <c r="Y813" t="n">
        <v>289</v>
      </c>
      <c r="Z813" t="n">
        <v>232</v>
      </c>
      <c r="AA813" t="n">
        <v>1000</v>
      </c>
      <c r="AB813" t="n">
        <v>2</v>
      </c>
      <c r="AC813" t="n">
        <v>4</v>
      </c>
      <c r="AD813" t="n">
        <v>14</v>
      </c>
      <c r="AE813" t="n">
        <v>30</v>
      </c>
      <c r="AF813" t="n">
        <v>5</v>
      </c>
      <c r="AG813" t="n">
        <v>15</v>
      </c>
      <c r="AH813" t="n">
        <v>4</v>
      </c>
      <c r="AI813" t="n">
        <v>8</v>
      </c>
      <c r="AJ813" t="n">
        <v>8</v>
      </c>
      <c r="AK813" t="n">
        <v>13</v>
      </c>
      <c r="AL813" t="n">
        <v>1</v>
      </c>
      <c r="AM813" t="n">
        <v>3</v>
      </c>
      <c r="AN813" t="n">
        <v>0</v>
      </c>
      <c r="AO813" t="n">
        <v>0</v>
      </c>
      <c r="AP813" t="inlineStr">
        <is>
          <t>No</t>
        </is>
      </c>
      <c r="AQ813" t="inlineStr">
        <is>
          <t>Yes</t>
        </is>
      </c>
      <c r="AR813">
        <f>HYPERLINK("http://catalog.hathitrust.org/Record/003096199","HathiTrust Record")</f>
        <v/>
      </c>
      <c r="AS813">
        <f>HYPERLINK("https://creighton-primo.hosted.exlibrisgroup.com/primo-explore/search?tab=default_tab&amp;search_scope=EVERYTHING&amp;vid=01CRU&amp;lang=en_US&amp;offset=0&amp;query=any,contains,991002566619702656","Catalog Record")</f>
        <v/>
      </c>
      <c r="AT813">
        <f>HYPERLINK("http://www.worldcat.org/oclc/33359215","WorldCat Record")</f>
        <v/>
      </c>
      <c r="AU813" t="inlineStr">
        <is>
          <t>223672323:eng</t>
        </is>
      </c>
      <c r="AV813" t="inlineStr">
        <is>
          <t>33359215</t>
        </is>
      </c>
      <c r="AW813" t="inlineStr">
        <is>
          <t>991002566619702656</t>
        </is>
      </c>
      <c r="AX813" t="inlineStr">
        <is>
          <t>991002566619702656</t>
        </is>
      </c>
      <c r="AY813" t="inlineStr">
        <is>
          <t>2263192330002656</t>
        </is>
      </c>
      <c r="AZ813" t="inlineStr">
        <is>
          <t>BOOK</t>
        </is>
      </c>
      <c r="BB813" t="inlineStr">
        <is>
          <t>9780824817374</t>
        </is>
      </c>
      <c r="BC813" t="inlineStr">
        <is>
          <t>32285003594370</t>
        </is>
      </c>
      <c r="BD813" t="inlineStr">
        <is>
          <t>893517429</t>
        </is>
      </c>
    </row>
    <row r="814">
      <c r="A814" t="inlineStr">
        <is>
          <t>No</t>
        </is>
      </c>
      <c r="B814" t="inlineStr">
        <is>
          <t>PL809.Z9 Z7396 1998</t>
        </is>
      </c>
      <c r="C814" t="inlineStr">
        <is>
          <t>0                      PL 0809000Z  9                  Z  7396        1998</t>
        </is>
      </c>
      <c r="D814" t="inlineStr">
        <is>
          <t>The similitude of blossoms : a critical biography of Izumi Kyōka (1873-1939), Japanese novelist and playwright / Charles Shirō Inouye.</t>
        </is>
      </c>
      <c r="F814" t="inlineStr">
        <is>
          <t>No</t>
        </is>
      </c>
      <c r="G814" t="inlineStr">
        <is>
          <t>1</t>
        </is>
      </c>
      <c r="H814" t="inlineStr">
        <is>
          <t>No</t>
        </is>
      </c>
      <c r="I814" t="inlineStr">
        <is>
          <t>No</t>
        </is>
      </c>
      <c r="J814" t="inlineStr">
        <is>
          <t>0</t>
        </is>
      </c>
      <c r="K814" t="inlineStr">
        <is>
          <t>Inouye, Charles Shirō.</t>
        </is>
      </c>
      <c r="L814" t="inlineStr">
        <is>
          <t>Cambridge, Mass. : Harvard University Asia Center : Distributed by Harvard University Press, 1998.</t>
        </is>
      </c>
      <c r="M814" t="inlineStr">
        <is>
          <t>1998</t>
        </is>
      </c>
      <c r="O814" t="inlineStr">
        <is>
          <t>eng</t>
        </is>
      </c>
      <c r="P814" t="inlineStr">
        <is>
          <t>mau</t>
        </is>
      </c>
      <c r="Q814" t="inlineStr">
        <is>
          <t>Harvard East Asian monographs ; 172</t>
        </is>
      </c>
      <c r="R814" t="inlineStr">
        <is>
          <t xml:space="preserve">PL </t>
        </is>
      </c>
      <c r="S814" t="n">
        <v>1</v>
      </c>
      <c r="T814" t="n">
        <v>1</v>
      </c>
      <c r="U814" t="inlineStr">
        <is>
          <t>2001-05-30</t>
        </is>
      </c>
      <c r="V814" t="inlineStr">
        <is>
          <t>2001-05-30</t>
        </is>
      </c>
      <c r="W814" t="inlineStr">
        <is>
          <t>2001-05-30</t>
        </is>
      </c>
      <c r="X814" t="inlineStr">
        <is>
          <t>2001-05-30</t>
        </is>
      </c>
      <c r="Y814" t="n">
        <v>245</v>
      </c>
      <c r="Z814" t="n">
        <v>193</v>
      </c>
      <c r="AA814" t="n">
        <v>243</v>
      </c>
      <c r="AB814" t="n">
        <v>2</v>
      </c>
      <c r="AC814" t="n">
        <v>3</v>
      </c>
      <c r="AD814" t="n">
        <v>10</v>
      </c>
      <c r="AE814" t="n">
        <v>16</v>
      </c>
      <c r="AF814" t="n">
        <v>2</v>
      </c>
      <c r="AG814" t="n">
        <v>7</v>
      </c>
      <c r="AH814" t="n">
        <v>4</v>
      </c>
      <c r="AI814" t="n">
        <v>5</v>
      </c>
      <c r="AJ814" t="n">
        <v>5</v>
      </c>
      <c r="AK814" t="n">
        <v>5</v>
      </c>
      <c r="AL814" t="n">
        <v>1</v>
      </c>
      <c r="AM814" t="n">
        <v>2</v>
      </c>
      <c r="AN814" t="n">
        <v>0</v>
      </c>
      <c r="AO814" t="n">
        <v>0</v>
      </c>
      <c r="AP814" t="inlineStr">
        <is>
          <t>No</t>
        </is>
      </c>
      <c r="AQ814" t="inlineStr">
        <is>
          <t>Yes</t>
        </is>
      </c>
      <c r="AR814">
        <f>HYPERLINK("http://catalog.hathitrust.org/Record/003312941","HathiTrust Record")</f>
        <v/>
      </c>
      <c r="AS814">
        <f>HYPERLINK("https://creighton-primo.hosted.exlibrisgroup.com/primo-explore/search?tab=default_tab&amp;search_scope=EVERYTHING&amp;vid=01CRU&amp;lang=en_US&amp;offset=0&amp;query=any,contains,991003509699702656","Catalog Record")</f>
        <v/>
      </c>
      <c r="AT814">
        <f>HYPERLINK("http://www.worldcat.org/oclc/39391268","WorldCat Record")</f>
        <v/>
      </c>
      <c r="AU814" t="inlineStr">
        <is>
          <t>42537083:eng</t>
        </is>
      </c>
      <c r="AV814" t="inlineStr">
        <is>
          <t>39391268</t>
        </is>
      </c>
      <c r="AW814" t="inlineStr">
        <is>
          <t>991003509699702656</t>
        </is>
      </c>
      <c r="AX814" t="inlineStr">
        <is>
          <t>991003509699702656</t>
        </is>
      </c>
      <c r="AY814" t="inlineStr">
        <is>
          <t>2262192050002656</t>
        </is>
      </c>
      <c r="AZ814" t="inlineStr">
        <is>
          <t>BOOK</t>
        </is>
      </c>
      <c r="BB814" t="inlineStr">
        <is>
          <t>9780674808164</t>
        </is>
      </c>
      <c r="BC814" t="inlineStr">
        <is>
          <t>32285004319223</t>
        </is>
      </c>
      <c r="BD814" t="inlineStr">
        <is>
          <t>893240282</t>
        </is>
      </c>
    </row>
    <row r="815">
      <c r="A815" t="inlineStr">
        <is>
          <t>No</t>
        </is>
      </c>
      <c r="B815" t="inlineStr">
        <is>
          <t>PL811.O7 A2 1994</t>
        </is>
      </c>
      <c r="C815" t="inlineStr">
        <is>
          <t>0                      PL 0811000O  7                  A  2           1994</t>
        </is>
      </c>
      <c r="D815" t="inlineStr">
        <is>
          <t>Youth and other stories / Mori *Ogai ; edited by J. Thomas Rimer.</t>
        </is>
      </c>
      <c r="F815" t="inlineStr">
        <is>
          <t>No</t>
        </is>
      </c>
      <c r="G815" t="inlineStr">
        <is>
          <t>1</t>
        </is>
      </c>
      <c r="H815" t="inlineStr">
        <is>
          <t>No</t>
        </is>
      </c>
      <c r="I815" t="inlineStr">
        <is>
          <t>No</t>
        </is>
      </c>
      <c r="J815" t="inlineStr">
        <is>
          <t>0</t>
        </is>
      </c>
      <c r="K815" t="inlineStr">
        <is>
          <t>Mori, Ōgai, 1862-1922.</t>
        </is>
      </c>
      <c r="L815" t="inlineStr">
        <is>
          <t>Honolulu : University of Hawaii Press, c1994.</t>
        </is>
      </c>
      <c r="M815" t="inlineStr">
        <is>
          <t>1994</t>
        </is>
      </c>
      <c r="O815" t="inlineStr">
        <is>
          <t>eng</t>
        </is>
      </c>
      <c r="P815" t="inlineStr">
        <is>
          <t>hiu</t>
        </is>
      </c>
      <c r="Q815" t="inlineStr">
        <is>
          <t>SHAPS library of translations</t>
        </is>
      </c>
      <c r="R815" t="inlineStr">
        <is>
          <t xml:space="preserve">PL </t>
        </is>
      </c>
      <c r="S815" t="n">
        <v>1</v>
      </c>
      <c r="T815" t="n">
        <v>1</v>
      </c>
      <c r="U815" t="inlineStr">
        <is>
          <t>2002-10-14</t>
        </is>
      </c>
      <c r="V815" t="inlineStr">
        <is>
          <t>2002-10-14</t>
        </is>
      </c>
      <c r="W815" t="inlineStr">
        <is>
          <t>2002-10-14</t>
        </is>
      </c>
      <c r="X815" t="inlineStr">
        <is>
          <t>2002-10-14</t>
        </is>
      </c>
      <c r="Y815" t="n">
        <v>302</v>
      </c>
      <c r="Z815" t="n">
        <v>241</v>
      </c>
      <c r="AA815" t="n">
        <v>703</v>
      </c>
      <c r="AB815" t="n">
        <v>2</v>
      </c>
      <c r="AC815" t="n">
        <v>4</v>
      </c>
      <c r="AD815" t="n">
        <v>12</v>
      </c>
      <c r="AE815" t="n">
        <v>17</v>
      </c>
      <c r="AF815" t="n">
        <v>4</v>
      </c>
      <c r="AG815" t="n">
        <v>7</v>
      </c>
      <c r="AH815" t="n">
        <v>2</v>
      </c>
      <c r="AI815" t="n">
        <v>2</v>
      </c>
      <c r="AJ815" t="n">
        <v>8</v>
      </c>
      <c r="AK815" t="n">
        <v>9</v>
      </c>
      <c r="AL815" t="n">
        <v>1</v>
      </c>
      <c r="AM815" t="n">
        <v>3</v>
      </c>
      <c r="AN815" t="n">
        <v>0</v>
      </c>
      <c r="AO815" t="n">
        <v>0</v>
      </c>
      <c r="AP815" t="inlineStr">
        <is>
          <t>No</t>
        </is>
      </c>
      <c r="AQ815" t="inlineStr">
        <is>
          <t>Yes</t>
        </is>
      </c>
      <c r="AR815">
        <f>HYPERLINK("http://catalog.hathitrust.org/Record/002868909","HathiTrust Record")</f>
        <v/>
      </c>
      <c r="AS815">
        <f>HYPERLINK("https://creighton-primo.hosted.exlibrisgroup.com/primo-explore/search?tab=default_tab&amp;search_scope=EVERYTHING&amp;vid=01CRU&amp;lang=en_US&amp;offset=0&amp;query=any,contains,991003911869702656","Catalog Record")</f>
        <v/>
      </c>
      <c r="AT815">
        <f>HYPERLINK("http://www.worldcat.org/oclc/29224586","WorldCat Record")</f>
        <v/>
      </c>
      <c r="AU815" t="inlineStr">
        <is>
          <t>31454574:eng</t>
        </is>
      </c>
      <c r="AV815" t="inlineStr">
        <is>
          <t>29224586</t>
        </is>
      </c>
      <c r="AW815" t="inlineStr">
        <is>
          <t>991003911869702656</t>
        </is>
      </c>
      <c r="AX815" t="inlineStr">
        <is>
          <t>991003911869702656</t>
        </is>
      </c>
      <c r="AY815" t="inlineStr">
        <is>
          <t>2264640280002656</t>
        </is>
      </c>
      <c r="AZ815" t="inlineStr">
        <is>
          <t>BOOK</t>
        </is>
      </c>
      <c r="BB815" t="inlineStr">
        <is>
          <t>9780824816001</t>
        </is>
      </c>
      <c r="BC815" t="inlineStr">
        <is>
          <t>32285004654561</t>
        </is>
      </c>
      <c r="BD815" t="inlineStr">
        <is>
          <t>893722163</t>
        </is>
      </c>
    </row>
    <row r="816">
      <c r="A816" t="inlineStr">
        <is>
          <t>No</t>
        </is>
      </c>
      <c r="B816" t="inlineStr">
        <is>
          <t>PL811.O7 G313 1995</t>
        </is>
      </c>
      <c r="C816" t="inlineStr">
        <is>
          <t>0                      PL 0811000O  7                  G  313         1995</t>
        </is>
      </c>
      <c r="D816" t="inlineStr">
        <is>
          <t>The wild goose / Mori Ōgai ; translated with an introduction by Burton Watson.</t>
        </is>
      </c>
      <c r="F816" t="inlineStr">
        <is>
          <t>No</t>
        </is>
      </c>
      <c r="G816" t="inlineStr">
        <is>
          <t>1</t>
        </is>
      </c>
      <c r="H816" t="inlineStr">
        <is>
          <t>No</t>
        </is>
      </c>
      <c r="I816" t="inlineStr">
        <is>
          <t>No</t>
        </is>
      </c>
      <c r="J816" t="inlineStr">
        <is>
          <t>0</t>
        </is>
      </c>
      <c r="K816" t="inlineStr">
        <is>
          <t>Mori, Ōgai, 1862-1922.</t>
        </is>
      </c>
      <c r="L816" t="inlineStr">
        <is>
          <t>Ann Arbor : Center for Japanese Studies, University of Michigan, 1995.</t>
        </is>
      </c>
      <c r="M816" t="inlineStr">
        <is>
          <t>1995</t>
        </is>
      </c>
      <c r="O816" t="inlineStr">
        <is>
          <t>eng</t>
        </is>
      </c>
      <c r="P816" t="inlineStr">
        <is>
          <t>miu</t>
        </is>
      </c>
      <c r="Q816" t="inlineStr">
        <is>
          <t>Michigan monograph series in Japanese studies ; no. 14</t>
        </is>
      </c>
      <c r="R816" t="inlineStr">
        <is>
          <t xml:space="preserve">PL </t>
        </is>
      </c>
      <c r="S816" t="n">
        <v>1</v>
      </c>
      <c r="T816" t="n">
        <v>1</v>
      </c>
      <c r="U816" t="inlineStr">
        <is>
          <t>2009-04-01</t>
        </is>
      </c>
      <c r="V816" t="inlineStr">
        <is>
          <t>2009-04-01</t>
        </is>
      </c>
      <c r="W816" t="inlineStr">
        <is>
          <t>2009-04-01</t>
        </is>
      </c>
      <c r="X816" t="inlineStr">
        <is>
          <t>2009-04-01</t>
        </is>
      </c>
      <c r="Y816" t="n">
        <v>488</v>
      </c>
      <c r="Z816" t="n">
        <v>399</v>
      </c>
      <c r="AA816" t="n">
        <v>789</v>
      </c>
      <c r="AB816" t="n">
        <v>1</v>
      </c>
      <c r="AC816" t="n">
        <v>5</v>
      </c>
      <c r="AD816" t="n">
        <v>22</v>
      </c>
      <c r="AE816" t="n">
        <v>38</v>
      </c>
      <c r="AF816" t="n">
        <v>8</v>
      </c>
      <c r="AG816" t="n">
        <v>18</v>
      </c>
      <c r="AH816" t="n">
        <v>9</v>
      </c>
      <c r="AI816" t="n">
        <v>11</v>
      </c>
      <c r="AJ816" t="n">
        <v>12</v>
      </c>
      <c r="AK816" t="n">
        <v>16</v>
      </c>
      <c r="AL816" t="n">
        <v>0</v>
      </c>
      <c r="AM816" t="n">
        <v>4</v>
      </c>
      <c r="AN816" t="n">
        <v>0</v>
      </c>
      <c r="AO816" t="n">
        <v>0</v>
      </c>
      <c r="AP816" t="inlineStr">
        <is>
          <t>No</t>
        </is>
      </c>
      <c r="AQ816" t="inlineStr">
        <is>
          <t>Yes</t>
        </is>
      </c>
      <c r="AR816">
        <f>HYPERLINK("http://catalog.hathitrust.org/Record/003064917","HathiTrust Record")</f>
        <v/>
      </c>
      <c r="AS816">
        <f>HYPERLINK("https://creighton-primo.hosted.exlibrisgroup.com/primo-explore/search?tab=default_tab&amp;search_scope=EVERYTHING&amp;vid=01CRU&amp;lang=en_US&amp;offset=0&amp;query=any,contains,991005307269702656","Catalog Record")</f>
        <v/>
      </c>
      <c r="AT816">
        <f>HYPERLINK("http://www.worldcat.org/oclc/32429511","WorldCat Record")</f>
        <v/>
      </c>
      <c r="AU816" t="inlineStr">
        <is>
          <t>6499000:eng</t>
        </is>
      </c>
      <c r="AV816" t="inlineStr">
        <is>
          <t>32429511</t>
        </is>
      </c>
      <c r="AW816" t="inlineStr">
        <is>
          <t>991005307269702656</t>
        </is>
      </c>
      <c r="AX816" t="inlineStr">
        <is>
          <t>991005307269702656</t>
        </is>
      </c>
      <c r="AY816" t="inlineStr">
        <is>
          <t>2260453140002656</t>
        </is>
      </c>
      <c r="AZ816" t="inlineStr">
        <is>
          <t>BOOK</t>
        </is>
      </c>
      <c r="BB816" t="inlineStr">
        <is>
          <t>9780939512706</t>
        </is>
      </c>
      <c r="BC816" t="inlineStr">
        <is>
          <t>32285005512677</t>
        </is>
      </c>
      <c r="BD816" t="inlineStr">
        <is>
          <t>893777193</t>
        </is>
      </c>
    </row>
    <row r="817">
      <c r="A817" t="inlineStr">
        <is>
          <t>No</t>
        </is>
      </c>
      <c r="B817" t="inlineStr">
        <is>
          <t>PL811.O7 Z58</t>
        </is>
      </c>
      <c r="C817" t="inlineStr">
        <is>
          <t>0                      PL 0811000O  7                  Z  58</t>
        </is>
      </c>
      <c r="D817" t="inlineStr">
        <is>
          <t>Mori Ōgai and the modernization of Japanese culture / Richard John Bowring.</t>
        </is>
      </c>
      <c r="F817" t="inlineStr">
        <is>
          <t>No</t>
        </is>
      </c>
      <c r="G817" t="inlineStr">
        <is>
          <t>1</t>
        </is>
      </c>
      <c r="H817" t="inlineStr">
        <is>
          <t>No</t>
        </is>
      </c>
      <c r="I817" t="inlineStr">
        <is>
          <t>No</t>
        </is>
      </c>
      <c r="J817" t="inlineStr">
        <is>
          <t>0</t>
        </is>
      </c>
      <c r="K817" t="inlineStr">
        <is>
          <t>Bowring, Richard, 1947-</t>
        </is>
      </c>
      <c r="L817" t="inlineStr">
        <is>
          <t>Cambridge [Eng.] ; New York : Cambridge University Press, c1979.</t>
        </is>
      </c>
      <c r="M817" t="inlineStr">
        <is>
          <t>1979</t>
        </is>
      </c>
      <c r="O817" t="inlineStr">
        <is>
          <t>eng</t>
        </is>
      </c>
      <c r="P817" t="inlineStr">
        <is>
          <t>enk</t>
        </is>
      </c>
      <c r="Q817" t="inlineStr">
        <is>
          <t>University of Cambridge oriental publications ; no. 28</t>
        </is>
      </c>
      <c r="R817" t="inlineStr">
        <is>
          <t xml:space="preserve">PL </t>
        </is>
      </c>
      <c r="S817" t="n">
        <v>2</v>
      </c>
      <c r="T817" t="n">
        <v>2</v>
      </c>
      <c r="U817" t="inlineStr">
        <is>
          <t>2008-10-07</t>
        </is>
      </c>
      <c r="V817" t="inlineStr">
        <is>
          <t>2008-10-07</t>
        </is>
      </c>
      <c r="W817" t="inlineStr">
        <is>
          <t>1993-05-04</t>
        </is>
      </c>
      <c r="X817" t="inlineStr">
        <is>
          <t>1993-05-04</t>
        </is>
      </c>
      <c r="Y817" t="n">
        <v>376</v>
      </c>
      <c r="Z817" t="n">
        <v>278</v>
      </c>
      <c r="AA817" t="n">
        <v>279</v>
      </c>
      <c r="AB817" t="n">
        <v>2</v>
      </c>
      <c r="AC817" t="n">
        <v>2</v>
      </c>
      <c r="AD817" t="n">
        <v>10</v>
      </c>
      <c r="AE817" t="n">
        <v>10</v>
      </c>
      <c r="AF817" t="n">
        <v>4</v>
      </c>
      <c r="AG817" t="n">
        <v>4</v>
      </c>
      <c r="AH817" t="n">
        <v>2</v>
      </c>
      <c r="AI817" t="n">
        <v>2</v>
      </c>
      <c r="AJ817" t="n">
        <v>6</v>
      </c>
      <c r="AK817" t="n">
        <v>6</v>
      </c>
      <c r="AL817" t="n">
        <v>1</v>
      </c>
      <c r="AM817" t="n">
        <v>1</v>
      </c>
      <c r="AN817" t="n">
        <v>0</v>
      </c>
      <c r="AO817" t="n">
        <v>0</v>
      </c>
      <c r="AP817" t="inlineStr">
        <is>
          <t>No</t>
        </is>
      </c>
      <c r="AQ817" t="inlineStr">
        <is>
          <t>Yes</t>
        </is>
      </c>
      <c r="AR817">
        <f>HYPERLINK("http://catalog.hathitrust.org/Record/000694314","HathiTrust Record")</f>
        <v/>
      </c>
      <c r="AS817">
        <f>HYPERLINK("https://creighton-primo.hosted.exlibrisgroup.com/primo-explore/search?tab=default_tab&amp;search_scope=EVERYTHING&amp;vid=01CRU&amp;lang=en_US&amp;offset=0&amp;query=any,contains,991004090869702656","Catalog Record")</f>
        <v/>
      </c>
      <c r="AT817">
        <f>HYPERLINK("http://www.worldcat.org/oclc/2345608","WorldCat Record")</f>
        <v/>
      </c>
      <c r="AU817" t="inlineStr">
        <is>
          <t>503658:eng</t>
        </is>
      </c>
      <c r="AV817" t="inlineStr">
        <is>
          <t>2345608</t>
        </is>
      </c>
      <c r="AW817" t="inlineStr">
        <is>
          <t>991004090869702656</t>
        </is>
      </c>
      <c r="AX817" t="inlineStr">
        <is>
          <t>991004090869702656</t>
        </is>
      </c>
      <c r="AY817" t="inlineStr">
        <is>
          <t>2262032430002656</t>
        </is>
      </c>
      <c r="AZ817" t="inlineStr">
        <is>
          <t>BOOK</t>
        </is>
      </c>
      <c r="BB817" t="inlineStr">
        <is>
          <t>9780521213196</t>
        </is>
      </c>
      <c r="BC817" t="inlineStr">
        <is>
          <t>32285001671873</t>
        </is>
      </c>
      <c r="BD817" t="inlineStr">
        <is>
          <t>893343451</t>
        </is>
      </c>
    </row>
    <row r="818">
      <c r="A818" t="inlineStr">
        <is>
          <t>No</t>
        </is>
      </c>
      <c r="B818" t="inlineStr">
        <is>
          <t>PL811.O7 Z768 1993</t>
        </is>
      </c>
      <c r="C818" t="inlineStr">
        <is>
          <t>0                      PL 0811000O  7                  Z  768         1993</t>
        </is>
      </c>
      <c r="D818" t="inlineStr">
        <is>
          <t>Paragons of the ordinary : the biographical literature of Mori *Ogai / Marvin Marcus.</t>
        </is>
      </c>
      <c r="F818" t="inlineStr">
        <is>
          <t>No</t>
        </is>
      </c>
      <c r="G818" t="inlineStr">
        <is>
          <t>1</t>
        </is>
      </c>
      <c r="H818" t="inlineStr">
        <is>
          <t>No</t>
        </is>
      </c>
      <c r="I818" t="inlineStr">
        <is>
          <t>No</t>
        </is>
      </c>
      <c r="J818" t="inlineStr">
        <is>
          <t>0</t>
        </is>
      </c>
      <c r="K818" t="inlineStr">
        <is>
          <t>Marcus, Marvin, 1944-</t>
        </is>
      </c>
      <c r="L818" t="inlineStr">
        <is>
          <t>Honolulu : University of Hawaii Press, 1993.</t>
        </is>
      </c>
      <c r="M818" t="inlineStr">
        <is>
          <t>1993</t>
        </is>
      </c>
      <c r="O818" t="inlineStr">
        <is>
          <t>eng</t>
        </is>
      </c>
      <c r="P818" t="inlineStr">
        <is>
          <t>hiu</t>
        </is>
      </c>
      <c r="Q818" t="inlineStr">
        <is>
          <t>SHAPS library of Asian studies</t>
        </is>
      </c>
      <c r="R818" t="inlineStr">
        <is>
          <t xml:space="preserve">PL </t>
        </is>
      </c>
      <c r="S818" t="n">
        <v>1</v>
      </c>
      <c r="T818" t="n">
        <v>1</v>
      </c>
      <c r="U818" t="inlineStr">
        <is>
          <t>2002-10-14</t>
        </is>
      </c>
      <c r="V818" t="inlineStr">
        <is>
          <t>2002-10-14</t>
        </is>
      </c>
      <c r="W818" t="inlineStr">
        <is>
          <t>2002-10-14</t>
        </is>
      </c>
      <c r="X818" t="inlineStr">
        <is>
          <t>2002-10-14</t>
        </is>
      </c>
      <c r="Y818" t="n">
        <v>265</v>
      </c>
      <c r="Z818" t="n">
        <v>201</v>
      </c>
      <c r="AA818" t="n">
        <v>886</v>
      </c>
      <c r="AB818" t="n">
        <v>1</v>
      </c>
      <c r="AC818" t="n">
        <v>3</v>
      </c>
      <c r="AD818" t="n">
        <v>12</v>
      </c>
      <c r="AE818" t="n">
        <v>18</v>
      </c>
      <c r="AF818" t="n">
        <v>6</v>
      </c>
      <c r="AG818" t="n">
        <v>10</v>
      </c>
      <c r="AH818" t="n">
        <v>3</v>
      </c>
      <c r="AI818" t="n">
        <v>3</v>
      </c>
      <c r="AJ818" t="n">
        <v>8</v>
      </c>
      <c r="AK818" t="n">
        <v>9</v>
      </c>
      <c r="AL818" t="n">
        <v>0</v>
      </c>
      <c r="AM818" t="n">
        <v>2</v>
      </c>
      <c r="AN818" t="n">
        <v>0</v>
      </c>
      <c r="AO818" t="n">
        <v>0</v>
      </c>
      <c r="AP818" t="inlineStr">
        <is>
          <t>No</t>
        </is>
      </c>
      <c r="AQ818" t="inlineStr">
        <is>
          <t>Yes</t>
        </is>
      </c>
      <c r="AR818">
        <f>HYPERLINK("http://catalog.hathitrust.org/Record/002617908","HathiTrust Record")</f>
        <v/>
      </c>
      <c r="AS818">
        <f>HYPERLINK("https://creighton-primo.hosted.exlibrisgroup.com/primo-explore/search?tab=default_tab&amp;search_scope=EVERYTHING&amp;vid=01CRU&amp;lang=en_US&amp;offset=0&amp;query=any,contains,991003913539702656","Catalog Record")</f>
        <v/>
      </c>
      <c r="AT818">
        <f>HYPERLINK("http://www.worldcat.org/oclc/26364071","WorldCat Record")</f>
        <v/>
      </c>
      <c r="AU818" t="inlineStr">
        <is>
          <t>1022834:eng</t>
        </is>
      </c>
      <c r="AV818" t="inlineStr">
        <is>
          <t>26364071</t>
        </is>
      </c>
      <c r="AW818" t="inlineStr">
        <is>
          <t>991003913539702656</t>
        </is>
      </c>
      <c r="AX818" t="inlineStr">
        <is>
          <t>991003913539702656</t>
        </is>
      </c>
      <c r="AY818" t="inlineStr">
        <is>
          <t>2263762450002656</t>
        </is>
      </c>
      <c r="AZ818" t="inlineStr">
        <is>
          <t>BOOK</t>
        </is>
      </c>
      <c r="BB818" t="inlineStr">
        <is>
          <t>9780824814502</t>
        </is>
      </c>
      <c r="BC818" t="inlineStr">
        <is>
          <t>32285004654579</t>
        </is>
      </c>
      <c r="BD818" t="inlineStr">
        <is>
          <t>893705765</t>
        </is>
      </c>
    </row>
    <row r="819">
      <c r="A819" t="inlineStr">
        <is>
          <t>No</t>
        </is>
      </c>
      <c r="B819" t="inlineStr">
        <is>
          <t>PL811.O7 Z83</t>
        </is>
      </c>
      <c r="C819" t="inlineStr">
        <is>
          <t>0                      PL 0811000O  7                  Z  83</t>
        </is>
      </c>
      <c r="D819" t="inlineStr">
        <is>
          <t>Mori Ōgai / by J. Thomas Rimer.</t>
        </is>
      </c>
      <c r="F819" t="inlineStr">
        <is>
          <t>No</t>
        </is>
      </c>
      <c r="G819" t="inlineStr">
        <is>
          <t>1</t>
        </is>
      </c>
      <c r="H819" t="inlineStr">
        <is>
          <t>No</t>
        </is>
      </c>
      <c r="I819" t="inlineStr">
        <is>
          <t>No</t>
        </is>
      </c>
      <c r="J819" t="inlineStr">
        <is>
          <t>0</t>
        </is>
      </c>
      <c r="K819" t="inlineStr">
        <is>
          <t>Rimer, J. Thomas.</t>
        </is>
      </c>
      <c r="L819" t="inlineStr">
        <is>
          <t>New York : Twayne Publishers, [1975]</t>
        </is>
      </c>
      <c r="M819" t="inlineStr">
        <is>
          <t>1975</t>
        </is>
      </c>
      <c r="O819" t="inlineStr">
        <is>
          <t>eng</t>
        </is>
      </c>
      <c r="P819" t="inlineStr">
        <is>
          <t>nyu</t>
        </is>
      </c>
      <c r="Q819" t="inlineStr">
        <is>
          <t>Twayne's world leaders authors [i.e.. authors] series ; TWAS 355 Japan</t>
        </is>
      </c>
      <c r="R819" t="inlineStr">
        <is>
          <t xml:space="preserve">PL </t>
        </is>
      </c>
      <c r="S819" t="n">
        <v>1</v>
      </c>
      <c r="T819" t="n">
        <v>1</v>
      </c>
      <c r="U819" t="inlineStr">
        <is>
          <t>2008-10-07</t>
        </is>
      </c>
      <c r="V819" t="inlineStr">
        <is>
          <t>2008-10-07</t>
        </is>
      </c>
      <c r="W819" t="inlineStr">
        <is>
          <t>1997-09-16</t>
        </is>
      </c>
      <c r="X819" t="inlineStr">
        <is>
          <t>1997-09-16</t>
        </is>
      </c>
      <c r="Y819" t="n">
        <v>484</v>
      </c>
      <c r="Z819" t="n">
        <v>428</v>
      </c>
      <c r="AA819" t="n">
        <v>533</v>
      </c>
      <c r="AB819" t="n">
        <v>3</v>
      </c>
      <c r="AC819" t="n">
        <v>3</v>
      </c>
      <c r="AD819" t="n">
        <v>17</v>
      </c>
      <c r="AE819" t="n">
        <v>19</v>
      </c>
      <c r="AF819" t="n">
        <v>7</v>
      </c>
      <c r="AG819" t="n">
        <v>8</v>
      </c>
      <c r="AH819" t="n">
        <v>4</v>
      </c>
      <c r="AI819" t="n">
        <v>4</v>
      </c>
      <c r="AJ819" t="n">
        <v>10</v>
      </c>
      <c r="AK819" t="n">
        <v>11</v>
      </c>
      <c r="AL819" t="n">
        <v>2</v>
      </c>
      <c r="AM819" t="n">
        <v>2</v>
      </c>
      <c r="AN819" t="n">
        <v>0</v>
      </c>
      <c r="AO819" t="n">
        <v>0</v>
      </c>
      <c r="AP819" t="inlineStr">
        <is>
          <t>No</t>
        </is>
      </c>
      <c r="AQ819" t="inlineStr">
        <is>
          <t>Yes</t>
        </is>
      </c>
      <c r="AR819">
        <f>HYPERLINK("http://catalog.hathitrust.org/Record/001774147","HathiTrust Record")</f>
        <v/>
      </c>
      <c r="AS819">
        <f>HYPERLINK("https://creighton-primo.hosted.exlibrisgroup.com/primo-explore/search?tab=default_tab&amp;search_scope=EVERYTHING&amp;vid=01CRU&amp;lang=en_US&amp;offset=0&amp;query=any,contains,991003540019702656","Catalog Record")</f>
        <v/>
      </c>
      <c r="AT819">
        <f>HYPERLINK("http://www.worldcat.org/oclc/1104243","WorldCat Record")</f>
        <v/>
      </c>
      <c r="AU819" t="inlineStr">
        <is>
          <t>1974301:eng</t>
        </is>
      </c>
      <c r="AV819" t="inlineStr">
        <is>
          <t>1104243</t>
        </is>
      </c>
      <c r="AW819" t="inlineStr">
        <is>
          <t>991003540019702656</t>
        </is>
      </c>
      <c r="AX819" t="inlineStr">
        <is>
          <t>991003540019702656</t>
        </is>
      </c>
      <c r="AY819" t="inlineStr">
        <is>
          <t>2256384590002656</t>
        </is>
      </c>
      <c r="AZ819" t="inlineStr">
        <is>
          <t>BOOK</t>
        </is>
      </c>
      <c r="BB819" t="inlineStr">
        <is>
          <t>9780805726367</t>
        </is>
      </c>
      <c r="BC819" t="inlineStr">
        <is>
          <t>32285003224440</t>
        </is>
      </c>
      <c r="BD819" t="inlineStr">
        <is>
          <t>893887570</t>
        </is>
      </c>
    </row>
    <row r="820">
      <c r="A820" t="inlineStr">
        <is>
          <t>No</t>
        </is>
      </c>
      <c r="B820" t="inlineStr">
        <is>
          <t>PL812.A46 T713 1989</t>
        </is>
      </c>
      <c r="C820" t="inlineStr">
        <is>
          <t>0                      PL 0812000A  46                 T  713         1989</t>
        </is>
      </c>
      <c r="D820" t="inlineStr">
        <is>
          <t>The soil : a portrait of rural life in Meiji Japan / Nagatsuka Takashi ; translated and with an introduction by Ann Waswo.</t>
        </is>
      </c>
      <c r="F820" t="inlineStr">
        <is>
          <t>No</t>
        </is>
      </c>
      <c r="G820" t="inlineStr">
        <is>
          <t>1</t>
        </is>
      </c>
      <c r="H820" t="inlineStr">
        <is>
          <t>No</t>
        </is>
      </c>
      <c r="I820" t="inlineStr">
        <is>
          <t>No</t>
        </is>
      </c>
      <c r="J820" t="inlineStr">
        <is>
          <t>0</t>
        </is>
      </c>
      <c r="K820" t="inlineStr">
        <is>
          <t>Nagatsuka, Takashi, 1879-1915.</t>
        </is>
      </c>
      <c r="L820" t="inlineStr">
        <is>
          <t>Berkeley : Univ. of California Press, c1989</t>
        </is>
      </c>
      <c r="M820" t="inlineStr">
        <is>
          <t>1989</t>
        </is>
      </c>
      <c r="O820" t="inlineStr">
        <is>
          <t>eng</t>
        </is>
      </c>
      <c r="P820" t="inlineStr">
        <is>
          <t>cau</t>
        </is>
      </c>
      <c r="Q820" t="inlineStr">
        <is>
          <t>Voices from Asia ; 8</t>
        </is>
      </c>
      <c r="R820" t="inlineStr">
        <is>
          <t xml:space="preserve">PL </t>
        </is>
      </c>
      <c r="S820" t="n">
        <v>2</v>
      </c>
      <c r="T820" t="n">
        <v>2</v>
      </c>
      <c r="U820" t="inlineStr">
        <is>
          <t>2001-05-16</t>
        </is>
      </c>
      <c r="V820" t="inlineStr">
        <is>
          <t>2001-05-16</t>
        </is>
      </c>
      <c r="W820" t="inlineStr">
        <is>
          <t>2001-04-23</t>
        </is>
      </c>
      <c r="X820" t="inlineStr">
        <is>
          <t>2001-04-23</t>
        </is>
      </c>
      <c r="Y820" t="n">
        <v>134</v>
      </c>
      <c r="Z820" t="n">
        <v>118</v>
      </c>
      <c r="AA820" t="n">
        <v>267</v>
      </c>
      <c r="AB820" t="n">
        <v>1</v>
      </c>
      <c r="AC820" t="n">
        <v>2</v>
      </c>
      <c r="AD820" t="n">
        <v>7</v>
      </c>
      <c r="AE820" t="n">
        <v>13</v>
      </c>
      <c r="AF820" t="n">
        <v>1</v>
      </c>
      <c r="AG820" t="n">
        <v>1</v>
      </c>
      <c r="AH820" t="n">
        <v>3</v>
      </c>
      <c r="AI820" t="n">
        <v>4</v>
      </c>
      <c r="AJ820" t="n">
        <v>4</v>
      </c>
      <c r="AK820" t="n">
        <v>8</v>
      </c>
      <c r="AL820" t="n">
        <v>0</v>
      </c>
      <c r="AM820" t="n">
        <v>1</v>
      </c>
      <c r="AN820" t="n">
        <v>0</v>
      </c>
      <c r="AO820" t="n">
        <v>0</v>
      </c>
      <c r="AP820" t="inlineStr">
        <is>
          <t>No</t>
        </is>
      </c>
      <c r="AQ820" t="inlineStr">
        <is>
          <t>No</t>
        </is>
      </c>
      <c r="AS820">
        <f>HYPERLINK("https://creighton-primo.hosted.exlibrisgroup.com/primo-explore/search?tab=default_tab&amp;search_scope=EVERYTHING&amp;vid=01CRU&amp;lang=en_US&amp;offset=0&amp;query=any,contains,991003509929702656","Catalog Record")</f>
        <v/>
      </c>
      <c r="AT820">
        <f>HYPERLINK("http://www.worldcat.org/oclc/28111151","WorldCat Record")</f>
        <v/>
      </c>
      <c r="AU820" t="inlineStr">
        <is>
          <t>6389862:eng</t>
        </is>
      </c>
      <c r="AV820" t="inlineStr">
        <is>
          <t>28111151</t>
        </is>
      </c>
      <c r="AW820" t="inlineStr">
        <is>
          <t>991003509929702656</t>
        </is>
      </c>
      <c r="AX820" t="inlineStr">
        <is>
          <t>991003509929702656</t>
        </is>
      </c>
      <c r="AY820" t="inlineStr">
        <is>
          <t>2259653330002656</t>
        </is>
      </c>
      <c r="AZ820" t="inlineStr">
        <is>
          <t>BOOK</t>
        </is>
      </c>
      <c r="BB820" t="inlineStr">
        <is>
          <t>9780520083721</t>
        </is>
      </c>
      <c r="BC820" t="inlineStr">
        <is>
          <t>32285004314489</t>
        </is>
      </c>
      <c r="BD820" t="inlineStr">
        <is>
          <t>893524879</t>
        </is>
      </c>
    </row>
    <row r="821">
      <c r="A821" t="inlineStr">
        <is>
          <t>No</t>
        </is>
      </c>
      <c r="B821" t="inlineStr">
        <is>
          <t>PL812.A8 B67</t>
        </is>
      </c>
      <c r="C821" t="inlineStr">
        <is>
          <t>0                      PL 0812000A  8                  B  67</t>
        </is>
      </c>
      <c r="D821" t="inlineStr">
        <is>
          <t>Botchan / by Natsume Soseki. Translated by Alan Turney.</t>
        </is>
      </c>
      <c r="F821" t="inlineStr">
        <is>
          <t>No</t>
        </is>
      </c>
      <c r="G821" t="inlineStr">
        <is>
          <t>1</t>
        </is>
      </c>
      <c r="H821" t="inlineStr">
        <is>
          <t>No</t>
        </is>
      </c>
      <c r="I821" t="inlineStr">
        <is>
          <t>No</t>
        </is>
      </c>
      <c r="J821" t="inlineStr">
        <is>
          <t>0</t>
        </is>
      </c>
      <c r="K821" t="inlineStr">
        <is>
          <t>Natsume, Sōseki, 1867-1916.</t>
        </is>
      </c>
      <c r="L821" t="inlineStr">
        <is>
          <t>Tokyo ; San Francisco, Calif. : Kodansha International, 1978, c1972, 1980 printing.</t>
        </is>
      </c>
      <c r="M821" t="inlineStr">
        <is>
          <t>1972</t>
        </is>
      </c>
      <c r="O821" t="inlineStr">
        <is>
          <t>eng</t>
        </is>
      </c>
      <c r="P821" t="inlineStr">
        <is>
          <t xml:space="preserve">ja </t>
        </is>
      </c>
      <c r="R821" t="inlineStr">
        <is>
          <t xml:space="preserve">PL </t>
        </is>
      </c>
      <c r="S821" t="n">
        <v>3</v>
      </c>
      <c r="T821" t="n">
        <v>3</v>
      </c>
      <c r="U821" t="inlineStr">
        <is>
          <t>1993-11-28</t>
        </is>
      </c>
      <c r="V821" t="inlineStr">
        <is>
          <t>1993-11-28</t>
        </is>
      </c>
      <c r="W821" t="inlineStr">
        <is>
          <t>1993-05-04</t>
        </is>
      </c>
      <c r="X821" t="inlineStr">
        <is>
          <t>1993-05-04</t>
        </is>
      </c>
      <c r="Y821" t="n">
        <v>274</v>
      </c>
      <c r="Z821" t="n">
        <v>228</v>
      </c>
      <c r="AA821" t="n">
        <v>1151</v>
      </c>
      <c r="AB821" t="n">
        <v>1</v>
      </c>
      <c r="AC821" t="n">
        <v>6</v>
      </c>
      <c r="AD821" t="n">
        <v>3</v>
      </c>
      <c r="AE821" t="n">
        <v>38</v>
      </c>
      <c r="AF821" t="n">
        <v>1</v>
      </c>
      <c r="AG821" t="n">
        <v>18</v>
      </c>
      <c r="AH821" t="n">
        <v>1</v>
      </c>
      <c r="AI821" t="n">
        <v>9</v>
      </c>
      <c r="AJ821" t="n">
        <v>2</v>
      </c>
      <c r="AK821" t="n">
        <v>15</v>
      </c>
      <c r="AL821" t="n">
        <v>0</v>
      </c>
      <c r="AM821" t="n">
        <v>5</v>
      </c>
      <c r="AN821" t="n">
        <v>0</v>
      </c>
      <c r="AO821" t="n">
        <v>0</v>
      </c>
      <c r="AP821" t="inlineStr">
        <is>
          <t>No</t>
        </is>
      </c>
      <c r="AQ821" t="inlineStr">
        <is>
          <t>Yes</t>
        </is>
      </c>
      <c r="AR821">
        <f>HYPERLINK("http://catalog.hathitrust.org/Record/001184840","HathiTrust Record")</f>
        <v/>
      </c>
      <c r="AS821">
        <f>HYPERLINK("https://creighton-primo.hosted.exlibrisgroup.com/primo-explore/search?tab=default_tab&amp;search_scope=EVERYTHING&amp;vid=01CRU&amp;lang=en_US&amp;offset=0&amp;query=any,contains,991002342789702656","Catalog Record")</f>
        <v/>
      </c>
      <c r="AT821">
        <f>HYPERLINK("http://www.worldcat.org/oclc/323760","WorldCat Record")</f>
        <v/>
      </c>
      <c r="AU821" t="inlineStr">
        <is>
          <t>4535754287:eng</t>
        </is>
      </c>
      <c r="AV821" t="inlineStr">
        <is>
          <t>323760</t>
        </is>
      </c>
      <c r="AW821" t="inlineStr">
        <is>
          <t>991002342789702656</t>
        </is>
      </c>
      <c r="AX821" t="inlineStr">
        <is>
          <t>991002342789702656</t>
        </is>
      </c>
      <c r="AY821" t="inlineStr">
        <is>
          <t>2256533510002656</t>
        </is>
      </c>
      <c r="AZ821" t="inlineStr">
        <is>
          <t>BOOK</t>
        </is>
      </c>
      <c r="BB821" t="inlineStr">
        <is>
          <t>9780870111693</t>
        </is>
      </c>
      <c r="BC821" t="inlineStr">
        <is>
          <t>32285001671881</t>
        </is>
      </c>
      <c r="BD821" t="inlineStr">
        <is>
          <t>893798469</t>
        </is>
      </c>
    </row>
    <row r="822">
      <c r="A822" t="inlineStr">
        <is>
          <t>No</t>
        </is>
      </c>
      <c r="B822" t="inlineStr">
        <is>
          <t>PL812.A8 K5713 1988</t>
        </is>
      </c>
      <c r="C822" t="inlineStr">
        <is>
          <t>0                      PL 0812000A  8                  K  5713        1988</t>
        </is>
      </c>
      <c r="D822" t="inlineStr">
        <is>
          <t>The miner / Natsume Sōseki ; translated, with an afterword, by Jay Rubin.</t>
        </is>
      </c>
      <c r="F822" t="inlineStr">
        <is>
          <t>No</t>
        </is>
      </c>
      <c r="G822" t="inlineStr">
        <is>
          <t>1</t>
        </is>
      </c>
      <c r="H822" t="inlineStr">
        <is>
          <t>No</t>
        </is>
      </c>
      <c r="I822" t="inlineStr">
        <is>
          <t>No</t>
        </is>
      </c>
      <c r="J822" t="inlineStr">
        <is>
          <t>0</t>
        </is>
      </c>
      <c r="K822" t="inlineStr">
        <is>
          <t>Natsume, Sōseki, 1867-1916.</t>
        </is>
      </c>
      <c r="L822" t="inlineStr">
        <is>
          <t>Stanford, Calif. : Stanford University Press, 1988.</t>
        </is>
      </c>
      <c r="M822" t="inlineStr">
        <is>
          <t>1988</t>
        </is>
      </c>
      <c r="O822" t="inlineStr">
        <is>
          <t>eng</t>
        </is>
      </c>
      <c r="P822" t="inlineStr">
        <is>
          <t>cau</t>
        </is>
      </c>
      <c r="R822" t="inlineStr">
        <is>
          <t xml:space="preserve">PL </t>
        </is>
      </c>
      <c r="S822" t="n">
        <v>1</v>
      </c>
      <c r="T822" t="n">
        <v>1</v>
      </c>
      <c r="U822" t="inlineStr">
        <is>
          <t>2006-03-13</t>
        </is>
      </c>
      <c r="V822" t="inlineStr">
        <is>
          <t>2006-03-13</t>
        </is>
      </c>
      <c r="W822" t="inlineStr">
        <is>
          <t>1996-03-19</t>
        </is>
      </c>
      <c r="X822" t="inlineStr">
        <is>
          <t>1996-03-19</t>
        </is>
      </c>
      <c r="Y822" t="n">
        <v>353</v>
      </c>
      <c r="Z822" t="n">
        <v>283</v>
      </c>
      <c r="AA822" t="n">
        <v>330</v>
      </c>
      <c r="AB822" t="n">
        <v>3</v>
      </c>
      <c r="AC822" t="n">
        <v>3</v>
      </c>
      <c r="AD822" t="n">
        <v>13</v>
      </c>
      <c r="AE822" t="n">
        <v>14</v>
      </c>
      <c r="AF822" t="n">
        <v>3</v>
      </c>
      <c r="AG822" t="n">
        <v>4</v>
      </c>
      <c r="AH822" t="n">
        <v>4</v>
      </c>
      <c r="AI822" t="n">
        <v>4</v>
      </c>
      <c r="AJ822" t="n">
        <v>6</v>
      </c>
      <c r="AK822" t="n">
        <v>7</v>
      </c>
      <c r="AL822" t="n">
        <v>2</v>
      </c>
      <c r="AM822" t="n">
        <v>2</v>
      </c>
      <c r="AN822" t="n">
        <v>0</v>
      </c>
      <c r="AO822" t="n">
        <v>0</v>
      </c>
      <c r="AP822" t="inlineStr">
        <is>
          <t>No</t>
        </is>
      </c>
      <c r="AQ822" t="inlineStr">
        <is>
          <t>Yes</t>
        </is>
      </c>
      <c r="AR822">
        <f>HYPERLINK("http://catalog.hathitrust.org/Record/000908121","HathiTrust Record")</f>
        <v/>
      </c>
      <c r="AS822">
        <f>HYPERLINK("https://creighton-primo.hosted.exlibrisgroup.com/primo-explore/search?tab=default_tab&amp;search_scope=EVERYTHING&amp;vid=01CRU&amp;lang=en_US&amp;offset=0&amp;query=any,contains,991001181679702656","Catalog Record")</f>
        <v/>
      </c>
      <c r="AT822">
        <f>HYPERLINK("http://www.worldcat.org/oclc/17108671","WorldCat Record")</f>
        <v/>
      </c>
      <c r="AU822" t="inlineStr">
        <is>
          <t>3752922686:eng</t>
        </is>
      </c>
      <c r="AV822" t="inlineStr">
        <is>
          <t>17108671</t>
        </is>
      </c>
      <c r="AW822" t="inlineStr">
        <is>
          <t>991001181679702656</t>
        </is>
      </c>
      <c r="AX822" t="inlineStr">
        <is>
          <t>991001181679702656</t>
        </is>
      </c>
      <c r="AY822" t="inlineStr">
        <is>
          <t>2259538820002656</t>
        </is>
      </c>
      <c r="AZ822" t="inlineStr">
        <is>
          <t>BOOK</t>
        </is>
      </c>
      <c r="BB822" t="inlineStr">
        <is>
          <t>9780804714600</t>
        </is>
      </c>
      <c r="BC822" t="inlineStr">
        <is>
          <t>32285002144516</t>
        </is>
      </c>
      <c r="BD822" t="inlineStr">
        <is>
          <t>893778620</t>
        </is>
      </c>
    </row>
    <row r="823">
      <c r="A823" t="inlineStr">
        <is>
          <t>No</t>
        </is>
      </c>
      <c r="B823" t="inlineStr">
        <is>
          <t>PL812.A8 K6</t>
        </is>
      </c>
      <c r="C823" t="inlineStr">
        <is>
          <t>0                      PL 0812000A  8                  K  6</t>
        </is>
      </c>
      <c r="D823" t="inlineStr">
        <is>
          <t>Kokoro : a novel / translated from the Japanese, and with a foreword by Edwin McClellan.</t>
        </is>
      </c>
      <c r="F823" t="inlineStr">
        <is>
          <t>No</t>
        </is>
      </c>
      <c r="G823" t="inlineStr">
        <is>
          <t>1</t>
        </is>
      </c>
      <c r="H823" t="inlineStr">
        <is>
          <t>No</t>
        </is>
      </c>
      <c r="I823" t="inlineStr">
        <is>
          <t>Yes</t>
        </is>
      </c>
      <c r="J823" t="inlineStr">
        <is>
          <t>0</t>
        </is>
      </c>
      <c r="K823" t="inlineStr">
        <is>
          <t>Natsume, Sōseki, 1867-1916.</t>
        </is>
      </c>
      <c r="L823" t="inlineStr">
        <is>
          <t>Chicago, H. Regnery Co., 1957.</t>
        </is>
      </c>
      <c r="M823" t="inlineStr">
        <is>
          <t>1957</t>
        </is>
      </c>
      <c r="O823" t="inlineStr">
        <is>
          <t>eng</t>
        </is>
      </c>
      <c r="P823" t="inlineStr">
        <is>
          <t>ilu</t>
        </is>
      </c>
      <c r="R823" t="inlineStr">
        <is>
          <t xml:space="preserve">PL </t>
        </is>
      </c>
      <c r="S823" t="n">
        <v>0</v>
      </c>
      <c r="T823" t="n">
        <v>0</v>
      </c>
      <c r="U823" t="inlineStr">
        <is>
          <t>2001-01-04</t>
        </is>
      </c>
      <c r="V823" t="inlineStr">
        <is>
          <t>2001-01-04</t>
        </is>
      </c>
      <c r="W823" t="inlineStr">
        <is>
          <t>1997-10-28</t>
        </is>
      </c>
      <c r="X823" t="inlineStr">
        <is>
          <t>1997-10-28</t>
        </is>
      </c>
      <c r="Y823" t="n">
        <v>389</v>
      </c>
      <c r="Z823" t="n">
        <v>369</v>
      </c>
      <c r="AA823" t="n">
        <v>1195</v>
      </c>
      <c r="AB823" t="n">
        <v>3</v>
      </c>
      <c r="AC823" t="n">
        <v>7</v>
      </c>
      <c r="AD823" t="n">
        <v>18</v>
      </c>
      <c r="AE823" t="n">
        <v>38</v>
      </c>
      <c r="AF823" t="n">
        <v>8</v>
      </c>
      <c r="AG823" t="n">
        <v>15</v>
      </c>
      <c r="AH823" t="n">
        <v>4</v>
      </c>
      <c r="AI823" t="n">
        <v>10</v>
      </c>
      <c r="AJ823" t="n">
        <v>9</v>
      </c>
      <c r="AK823" t="n">
        <v>20</v>
      </c>
      <c r="AL823" t="n">
        <v>2</v>
      </c>
      <c r="AM823" t="n">
        <v>5</v>
      </c>
      <c r="AN823" t="n">
        <v>0</v>
      </c>
      <c r="AO823" t="n">
        <v>0</v>
      </c>
      <c r="AP823" t="inlineStr">
        <is>
          <t>No</t>
        </is>
      </c>
      <c r="AQ823" t="inlineStr">
        <is>
          <t>Yes</t>
        </is>
      </c>
      <c r="AR823">
        <f>HYPERLINK("http://catalog.hathitrust.org/Record/001184843","HathiTrust Record")</f>
        <v/>
      </c>
      <c r="AS823">
        <f>HYPERLINK("https://creighton-primo.hosted.exlibrisgroup.com/primo-explore/search?tab=default_tab&amp;search_scope=EVERYTHING&amp;vid=01CRU&amp;lang=en_US&amp;offset=0&amp;query=any,contains,991001909949702656","Catalog Record")</f>
        <v/>
      </c>
      <c r="AT823">
        <f>HYPERLINK("http://www.worldcat.org/oclc/241991","WorldCat Record")</f>
        <v/>
      </c>
      <c r="AU823" t="inlineStr">
        <is>
          <t>4915210636:eng</t>
        </is>
      </c>
      <c r="AV823" t="inlineStr">
        <is>
          <t>241991</t>
        </is>
      </c>
      <c r="AW823" t="inlineStr">
        <is>
          <t>991001909949702656</t>
        </is>
      </c>
      <c r="AX823" t="inlineStr">
        <is>
          <t>991001909949702656</t>
        </is>
      </c>
      <c r="AY823" t="inlineStr">
        <is>
          <t>2271723920002656</t>
        </is>
      </c>
      <c r="AZ823" t="inlineStr">
        <is>
          <t>BOOK</t>
        </is>
      </c>
      <c r="BC823" t="inlineStr">
        <is>
          <t>32285003258869</t>
        </is>
      </c>
      <c r="BD823" t="inlineStr">
        <is>
          <t>893590732</t>
        </is>
      </c>
    </row>
    <row r="824">
      <c r="A824" t="inlineStr">
        <is>
          <t>No</t>
        </is>
      </c>
      <c r="B824" t="inlineStr">
        <is>
          <t>PL812.A8 K6 1969</t>
        </is>
      </c>
      <c r="C824" t="inlineStr">
        <is>
          <t>0                      PL 0812000A  8                  K  6           1969</t>
        </is>
      </c>
      <c r="D824" t="inlineStr">
        <is>
          <t>Kokoro : a novel / Soseki Natsume ; translated [from the Japanese and with a foreword] by Edwin McClellan.</t>
        </is>
      </c>
      <c r="F824" t="inlineStr">
        <is>
          <t>No</t>
        </is>
      </c>
      <c r="G824" t="inlineStr">
        <is>
          <t>1</t>
        </is>
      </c>
      <c r="H824" t="inlineStr">
        <is>
          <t>No</t>
        </is>
      </c>
      <c r="I824" t="inlineStr">
        <is>
          <t>Yes</t>
        </is>
      </c>
      <c r="J824" t="inlineStr">
        <is>
          <t>0</t>
        </is>
      </c>
      <c r="K824" t="inlineStr">
        <is>
          <t>Natsume, Sōseki, 1867-1916.</t>
        </is>
      </c>
      <c r="L824" t="inlineStr">
        <is>
          <t>Tokyo : Tuttle, 1969</t>
        </is>
      </c>
      <c r="M824" t="inlineStr">
        <is>
          <t>1969</t>
        </is>
      </c>
      <c r="N824" t="inlineStr">
        <is>
          <t>1st ed.</t>
        </is>
      </c>
      <c r="O824" t="inlineStr">
        <is>
          <t>eng</t>
        </is>
      </c>
      <c r="P824" t="inlineStr">
        <is>
          <t xml:space="preserve">ja </t>
        </is>
      </c>
      <c r="Q824" t="inlineStr">
        <is>
          <t>Library of Japanese literature</t>
        </is>
      </c>
      <c r="R824" t="inlineStr">
        <is>
          <t xml:space="preserve">PL </t>
        </is>
      </c>
      <c r="S824" t="n">
        <v>2</v>
      </c>
      <c r="T824" t="n">
        <v>2</v>
      </c>
      <c r="U824" t="inlineStr">
        <is>
          <t>2002-11-20</t>
        </is>
      </c>
      <c r="V824" t="inlineStr">
        <is>
          <t>2002-11-20</t>
        </is>
      </c>
      <c r="W824" t="inlineStr">
        <is>
          <t>2002-11-20</t>
        </is>
      </c>
      <c r="X824" t="inlineStr">
        <is>
          <t>2002-11-20</t>
        </is>
      </c>
      <c r="Y824" t="n">
        <v>231</v>
      </c>
      <c r="Z824" t="n">
        <v>135</v>
      </c>
      <c r="AA824" t="n">
        <v>1195</v>
      </c>
      <c r="AB824" t="n">
        <v>2</v>
      </c>
      <c r="AC824" t="n">
        <v>7</v>
      </c>
      <c r="AD824" t="n">
        <v>7</v>
      </c>
      <c r="AE824" t="n">
        <v>38</v>
      </c>
      <c r="AF824" t="n">
        <v>3</v>
      </c>
      <c r="AG824" t="n">
        <v>15</v>
      </c>
      <c r="AH824" t="n">
        <v>2</v>
      </c>
      <c r="AI824" t="n">
        <v>10</v>
      </c>
      <c r="AJ824" t="n">
        <v>4</v>
      </c>
      <c r="AK824" t="n">
        <v>20</v>
      </c>
      <c r="AL824" t="n">
        <v>1</v>
      </c>
      <c r="AM824" t="n">
        <v>5</v>
      </c>
      <c r="AN824" t="n">
        <v>0</v>
      </c>
      <c r="AO824" t="n">
        <v>0</v>
      </c>
      <c r="AP824" t="inlineStr">
        <is>
          <t>No</t>
        </is>
      </c>
      <c r="AQ824" t="inlineStr">
        <is>
          <t>No</t>
        </is>
      </c>
      <c r="AS824">
        <f>HYPERLINK("https://creighton-primo.hosted.exlibrisgroup.com/primo-explore/search?tab=default_tab&amp;search_scope=EVERYTHING&amp;vid=01CRU&amp;lang=en_US&amp;offset=0&amp;query=any,contains,991003948829702656","Catalog Record")</f>
        <v/>
      </c>
      <c r="AT824">
        <f>HYPERLINK("http://www.worldcat.org/oclc/27858","WorldCat Record")</f>
        <v/>
      </c>
      <c r="AU824" t="inlineStr">
        <is>
          <t>4915210636:eng</t>
        </is>
      </c>
      <c r="AV824" t="inlineStr">
        <is>
          <t>27858</t>
        </is>
      </c>
      <c r="AW824" t="inlineStr">
        <is>
          <t>991003948829702656</t>
        </is>
      </c>
      <c r="AX824" t="inlineStr">
        <is>
          <t>991003948829702656</t>
        </is>
      </c>
      <c r="AY824" t="inlineStr">
        <is>
          <t>2262523800002656</t>
        </is>
      </c>
      <c r="AZ824" t="inlineStr">
        <is>
          <t>BOOK</t>
        </is>
      </c>
      <c r="BB824" t="inlineStr">
        <is>
          <t>9784805301616</t>
        </is>
      </c>
      <c r="BC824" t="inlineStr">
        <is>
          <t>32285004664917</t>
        </is>
      </c>
      <c r="BD824" t="inlineStr">
        <is>
          <t>893869110</t>
        </is>
      </c>
    </row>
    <row r="825">
      <c r="A825" t="inlineStr">
        <is>
          <t>No</t>
        </is>
      </c>
      <c r="B825" t="inlineStr">
        <is>
          <t>PL812.A8 K65 1979</t>
        </is>
      </c>
      <c r="C825" t="inlineStr">
        <is>
          <t>0                      PL 0812000A  8                  K  65          1979</t>
        </is>
      </c>
      <c r="D825" t="inlineStr">
        <is>
          <t>Kokoro : a novel / by Natsume Soseki ; translated from the Japanese and with a foreword by Edwin McClellan.</t>
        </is>
      </c>
      <c r="F825" t="inlineStr">
        <is>
          <t>No</t>
        </is>
      </c>
      <c r="G825" t="inlineStr">
        <is>
          <t>1</t>
        </is>
      </c>
      <c r="H825" t="inlineStr">
        <is>
          <t>No</t>
        </is>
      </c>
      <c r="I825" t="inlineStr">
        <is>
          <t>Yes</t>
        </is>
      </c>
      <c r="J825" t="inlineStr">
        <is>
          <t>0</t>
        </is>
      </c>
      <c r="K825" t="inlineStr">
        <is>
          <t>Natsume, Sōseki, 1867-1916.</t>
        </is>
      </c>
      <c r="L825" t="inlineStr">
        <is>
          <t>Chicago, Ill. : Regnery/Gateway, 1979, c1957.</t>
        </is>
      </c>
      <c r="M825" t="inlineStr">
        <is>
          <t>1979</t>
        </is>
      </c>
      <c r="N825" t="inlineStr">
        <is>
          <t>Gateway ed.</t>
        </is>
      </c>
      <c r="O825" t="inlineStr">
        <is>
          <t>eng</t>
        </is>
      </c>
      <c r="P825" t="inlineStr">
        <is>
          <t>inu</t>
        </is>
      </c>
      <c r="R825" t="inlineStr">
        <is>
          <t xml:space="preserve">PL </t>
        </is>
      </c>
      <c r="S825" t="n">
        <v>6</v>
      </c>
      <c r="T825" t="n">
        <v>6</v>
      </c>
      <c r="U825" t="inlineStr">
        <is>
          <t>2008-06-30</t>
        </is>
      </c>
      <c r="V825" t="inlineStr">
        <is>
          <t>2008-06-30</t>
        </is>
      </c>
      <c r="W825" t="inlineStr">
        <is>
          <t>1993-05-03</t>
        </is>
      </c>
      <c r="X825" t="inlineStr">
        <is>
          <t>1993-05-03</t>
        </is>
      </c>
      <c r="Y825" t="n">
        <v>28</v>
      </c>
      <c r="Z825" t="n">
        <v>26</v>
      </c>
      <c r="AA825" t="n">
        <v>1195</v>
      </c>
      <c r="AB825" t="n">
        <v>1</v>
      </c>
      <c r="AC825" t="n">
        <v>7</v>
      </c>
      <c r="AD825" t="n">
        <v>0</v>
      </c>
      <c r="AE825" t="n">
        <v>38</v>
      </c>
      <c r="AF825" t="n">
        <v>0</v>
      </c>
      <c r="AG825" t="n">
        <v>15</v>
      </c>
      <c r="AH825" t="n">
        <v>0</v>
      </c>
      <c r="AI825" t="n">
        <v>10</v>
      </c>
      <c r="AJ825" t="n">
        <v>0</v>
      </c>
      <c r="AK825" t="n">
        <v>20</v>
      </c>
      <c r="AL825" t="n">
        <v>0</v>
      </c>
      <c r="AM825" t="n">
        <v>5</v>
      </c>
      <c r="AN825" t="n">
        <v>0</v>
      </c>
      <c r="AO825" t="n">
        <v>0</v>
      </c>
      <c r="AP825" t="inlineStr">
        <is>
          <t>No</t>
        </is>
      </c>
      <c r="AQ825" t="inlineStr">
        <is>
          <t>No</t>
        </is>
      </c>
      <c r="AS825">
        <f>HYPERLINK("https://creighton-primo.hosted.exlibrisgroup.com/primo-explore/search?tab=default_tab&amp;search_scope=EVERYTHING&amp;vid=01CRU&amp;lang=en_US&amp;offset=0&amp;query=any,contains,991005075719702656","Catalog Record")</f>
        <v/>
      </c>
      <c r="AT825">
        <f>HYPERLINK("http://www.worldcat.org/oclc/7110964","WorldCat Record")</f>
        <v/>
      </c>
      <c r="AU825" t="inlineStr">
        <is>
          <t>4915210636:eng</t>
        </is>
      </c>
      <c r="AV825" t="inlineStr">
        <is>
          <t>7110964</t>
        </is>
      </c>
      <c r="AW825" t="inlineStr">
        <is>
          <t>991005075719702656</t>
        </is>
      </c>
      <c r="AX825" t="inlineStr">
        <is>
          <t>991005075719702656</t>
        </is>
      </c>
      <c r="AY825" t="inlineStr">
        <is>
          <t>2260129320002656</t>
        </is>
      </c>
      <c r="AZ825" t="inlineStr">
        <is>
          <t>BOOK</t>
        </is>
      </c>
      <c r="BB825" t="inlineStr">
        <is>
          <t>9780895269515</t>
        </is>
      </c>
      <c r="BC825" t="inlineStr">
        <is>
          <t>32285001632891</t>
        </is>
      </c>
      <c r="BD825" t="inlineStr">
        <is>
          <t>893810831</t>
        </is>
      </c>
    </row>
    <row r="826">
      <c r="A826" t="inlineStr">
        <is>
          <t>No</t>
        </is>
      </c>
      <c r="B826" t="inlineStr">
        <is>
          <t>PL816.H5 Z846</t>
        </is>
      </c>
      <c r="C826" t="inlineStr">
        <is>
          <t>0                      PL 0816000H  5                  Z  846</t>
        </is>
      </c>
      <c r="D826" t="inlineStr">
        <is>
          <t>The Shiga hero / William F. Sibley.</t>
        </is>
      </c>
      <c r="F826" t="inlineStr">
        <is>
          <t>No</t>
        </is>
      </c>
      <c r="G826" t="inlineStr">
        <is>
          <t>1</t>
        </is>
      </c>
      <c r="H826" t="inlineStr">
        <is>
          <t>No</t>
        </is>
      </c>
      <c r="I826" t="inlineStr">
        <is>
          <t>No</t>
        </is>
      </c>
      <c r="J826" t="inlineStr">
        <is>
          <t>0</t>
        </is>
      </c>
      <c r="K826" t="inlineStr">
        <is>
          <t>Sibley, William F.</t>
        </is>
      </c>
      <c r="L826" t="inlineStr">
        <is>
          <t>Chicago : University of Chicago Press, c1979.</t>
        </is>
      </c>
      <c r="M826" t="inlineStr">
        <is>
          <t>1979</t>
        </is>
      </c>
      <c r="O826" t="inlineStr">
        <is>
          <t>eng</t>
        </is>
      </c>
      <c r="P826" t="inlineStr">
        <is>
          <t>ilu</t>
        </is>
      </c>
      <c r="R826" t="inlineStr">
        <is>
          <t xml:space="preserve">PL </t>
        </is>
      </c>
      <c r="S826" t="n">
        <v>2</v>
      </c>
      <c r="T826" t="n">
        <v>2</v>
      </c>
      <c r="U826" t="inlineStr">
        <is>
          <t>1993-10-05</t>
        </is>
      </c>
      <c r="V826" t="inlineStr">
        <is>
          <t>1993-10-05</t>
        </is>
      </c>
      <c r="W826" t="inlineStr">
        <is>
          <t>1993-05-04</t>
        </is>
      </c>
      <c r="X826" t="inlineStr">
        <is>
          <t>1993-05-04</t>
        </is>
      </c>
      <c r="Y826" t="n">
        <v>377</v>
      </c>
      <c r="Z826" t="n">
        <v>311</v>
      </c>
      <c r="AA826" t="n">
        <v>317</v>
      </c>
      <c r="AB826" t="n">
        <v>2</v>
      </c>
      <c r="AC826" t="n">
        <v>2</v>
      </c>
      <c r="AD826" t="n">
        <v>14</v>
      </c>
      <c r="AE826" t="n">
        <v>14</v>
      </c>
      <c r="AF826" t="n">
        <v>7</v>
      </c>
      <c r="AG826" t="n">
        <v>7</v>
      </c>
      <c r="AH826" t="n">
        <v>2</v>
      </c>
      <c r="AI826" t="n">
        <v>2</v>
      </c>
      <c r="AJ826" t="n">
        <v>8</v>
      </c>
      <c r="AK826" t="n">
        <v>8</v>
      </c>
      <c r="AL826" t="n">
        <v>1</v>
      </c>
      <c r="AM826" t="n">
        <v>1</v>
      </c>
      <c r="AN826" t="n">
        <v>0</v>
      </c>
      <c r="AO826" t="n">
        <v>0</v>
      </c>
      <c r="AP826" t="inlineStr">
        <is>
          <t>No</t>
        </is>
      </c>
      <c r="AQ826" t="inlineStr">
        <is>
          <t>Yes</t>
        </is>
      </c>
      <c r="AR826">
        <f>HYPERLINK("http://catalog.hathitrust.org/Record/000021722","HathiTrust Record")</f>
        <v/>
      </c>
      <c r="AS826">
        <f>HYPERLINK("https://creighton-primo.hosted.exlibrisgroup.com/primo-explore/search?tab=default_tab&amp;search_scope=EVERYTHING&amp;vid=01CRU&amp;lang=en_US&amp;offset=0&amp;query=any,contains,991004749569702656","Catalog Record")</f>
        <v/>
      </c>
      <c r="AT826">
        <f>HYPERLINK("http://www.worldcat.org/oclc/4932952","WorldCat Record")</f>
        <v/>
      </c>
      <c r="AU826" t="inlineStr">
        <is>
          <t>419283:eng</t>
        </is>
      </c>
      <c r="AV826" t="inlineStr">
        <is>
          <t>4932952</t>
        </is>
      </c>
      <c r="AW826" t="inlineStr">
        <is>
          <t>991004749569702656</t>
        </is>
      </c>
      <c r="AX826" t="inlineStr">
        <is>
          <t>991004749569702656</t>
        </is>
      </c>
      <c r="AY826" t="inlineStr">
        <is>
          <t>2270590560002656</t>
        </is>
      </c>
      <c r="AZ826" t="inlineStr">
        <is>
          <t>BOOK</t>
        </is>
      </c>
      <c r="BB826" t="inlineStr">
        <is>
          <t>9780226756202</t>
        </is>
      </c>
      <c r="BC826" t="inlineStr">
        <is>
          <t>32285001671907</t>
        </is>
      </c>
      <c r="BD826" t="inlineStr">
        <is>
          <t>893430455</t>
        </is>
      </c>
    </row>
    <row r="827">
      <c r="A827" t="inlineStr">
        <is>
          <t>No</t>
        </is>
      </c>
      <c r="B827" t="inlineStr">
        <is>
          <t>PL816.H55 H313 1977</t>
        </is>
      </c>
      <c r="C827" t="inlineStr">
        <is>
          <t>0                      PL 0816000H  55                 H  313         1977</t>
        </is>
      </c>
      <c r="D827" t="inlineStr">
        <is>
          <t>The broken commandment / by Shimazaki Toson ; translated by Kenneth Strong.</t>
        </is>
      </c>
      <c r="F827" t="inlineStr">
        <is>
          <t>No</t>
        </is>
      </c>
      <c r="G827" t="inlineStr">
        <is>
          <t>1</t>
        </is>
      </c>
      <c r="H827" t="inlineStr">
        <is>
          <t>No</t>
        </is>
      </c>
      <c r="I827" t="inlineStr">
        <is>
          <t>No</t>
        </is>
      </c>
      <c r="J827" t="inlineStr">
        <is>
          <t>0</t>
        </is>
      </c>
      <c r="K827" t="inlineStr">
        <is>
          <t>Shimazaki, Tōson, 1872-1943.</t>
        </is>
      </c>
      <c r="L827" t="inlineStr">
        <is>
          <t>[Tokyo] : University of Tokyo Press, 1977, c1974.</t>
        </is>
      </c>
      <c r="M827" t="inlineStr">
        <is>
          <t>1977</t>
        </is>
      </c>
      <c r="O827" t="inlineStr">
        <is>
          <t>eng</t>
        </is>
      </c>
      <c r="P827" t="inlineStr">
        <is>
          <t xml:space="preserve">ja </t>
        </is>
      </c>
      <c r="Q827" t="inlineStr">
        <is>
          <t>Japan Foundation translation series</t>
        </is>
      </c>
      <c r="R827" t="inlineStr">
        <is>
          <t xml:space="preserve">PL </t>
        </is>
      </c>
      <c r="S827" t="n">
        <v>2</v>
      </c>
      <c r="T827" t="n">
        <v>2</v>
      </c>
      <c r="U827" t="inlineStr">
        <is>
          <t>2001-05-16</t>
        </is>
      </c>
      <c r="V827" t="inlineStr">
        <is>
          <t>2001-05-16</t>
        </is>
      </c>
      <c r="W827" t="inlineStr">
        <is>
          <t>2001-03-21</t>
        </is>
      </c>
      <c r="X827" t="inlineStr">
        <is>
          <t>2001-03-21</t>
        </is>
      </c>
      <c r="Y827" t="n">
        <v>137</v>
      </c>
      <c r="Z827" t="n">
        <v>116</v>
      </c>
      <c r="AA827" t="n">
        <v>408</v>
      </c>
      <c r="AB827" t="n">
        <v>3</v>
      </c>
      <c r="AC827" t="n">
        <v>4</v>
      </c>
      <c r="AD827" t="n">
        <v>6</v>
      </c>
      <c r="AE827" t="n">
        <v>20</v>
      </c>
      <c r="AF827" t="n">
        <v>2</v>
      </c>
      <c r="AG827" t="n">
        <v>6</v>
      </c>
      <c r="AH827" t="n">
        <v>2</v>
      </c>
      <c r="AI827" t="n">
        <v>5</v>
      </c>
      <c r="AJ827" t="n">
        <v>3</v>
      </c>
      <c r="AK827" t="n">
        <v>12</v>
      </c>
      <c r="AL827" t="n">
        <v>2</v>
      </c>
      <c r="AM827" t="n">
        <v>3</v>
      </c>
      <c r="AN827" t="n">
        <v>0</v>
      </c>
      <c r="AO827" t="n">
        <v>0</v>
      </c>
      <c r="AP827" t="inlineStr">
        <is>
          <t>No</t>
        </is>
      </c>
      <c r="AQ827" t="inlineStr">
        <is>
          <t>No</t>
        </is>
      </c>
      <c r="AS827">
        <f>HYPERLINK("https://creighton-primo.hosted.exlibrisgroup.com/primo-explore/search?tab=default_tab&amp;search_scope=EVERYTHING&amp;vid=01CRU&amp;lang=en_US&amp;offset=0&amp;query=any,contains,991003516339702656","Catalog Record")</f>
        <v/>
      </c>
      <c r="AT827">
        <f>HYPERLINK("http://www.worldcat.org/oclc/9898713","WorldCat Record")</f>
        <v/>
      </c>
      <c r="AU827" t="inlineStr">
        <is>
          <t>1961275:eng</t>
        </is>
      </c>
      <c r="AV827" t="inlineStr">
        <is>
          <t>9898713</t>
        </is>
      </c>
      <c r="AW827" t="inlineStr">
        <is>
          <t>991003516339702656</t>
        </is>
      </c>
      <c r="AX827" t="inlineStr">
        <is>
          <t>991003516339702656</t>
        </is>
      </c>
      <c r="AY827" t="inlineStr">
        <is>
          <t>2269795430002656</t>
        </is>
      </c>
      <c r="AZ827" t="inlineStr">
        <is>
          <t>BOOK</t>
        </is>
      </c>
      <c r="BB827" t="inlineStr">
        <is>
          <t>9780860081913</t>
        </is>
      </c>
      <c r="BC827" t="inlineStr">
        <is>
          <t>32285004306519</t>
        </is>
      </c>
      <c r="BD827" t="inlineStr">
        <is>
          <t>893524892</t>
        </is>
      </c>
    </row>
    <row r="828">
      <c r="A828" t="inlineStr">
        <is>
          <t>No</t>
        </is>
      </c>
      <c r="B828" t="inlineStr">
        <is>
          <t>PL8234.Z95 E5 1966</t>
        </is>
      </c>
      <c r="C828" t="inlineStr">
        <is>
          <t>0                      PL 8234000Z  95                 E  5           1966</t>
        </is>
      </c>
      <c r="D828" t="inlineStr">
        <is>
          <t>A selection of Hausa stories; compiled and translated by H.A.S. Johnston.</t>
        </is>
      </c>
      <c r="F828" t="inlineStr">
        <is>
          <t>No</t>
        </is>
      </c>
      <c r="G828" t="inlineStr">
        <is>
          <t>1</t>
        </is>
      </c>
      <c r="H828" t="inlineStr">
        <is>
          <t>No</t>
        </is>
      </c>
      <c r="I828" t="inlineStr">
        <is>
          <t>No</t>
        </is>
      </c>
      <c r="J828" t="inlineStr">
        <is>
          <t>0</t>
        </is>
      </c>
      <c r="K828" t="inlineStr">
        <is>
          <t>Johnston, H. A. S. (Hugh Anthony Stephen), editor, translator.</t>
        </is>
      </c>
      <c r="L828" t="inlineStr">
        <is>
          <t>Oxford, Clarendon P., 1966.</t>
        </is>
      </c>
      <c r="M828" t="inlineStr">
        <is>
          <t>1966</t>
        </is>
      </c>
      <c r="O828" t="inlineStr">
        <is>
          <t>eng</t>
        </is>
      </c>
      <c r="P828" t="inlineStr">
        <is>
          <t>enk</t>
        </is>
      </c>
      <c r="Q828" t="inlineStr">
        <is>
          <t>Oxford library of African literature</t>
        </is>
      </c>
      <c r="R828" t="inlineStr">
        <is>
          <t xml:space="preserve">PL </t>
        </is>
      </c>
      <c r="S828" t="n">
        <v>1</v>
      </c>
      <c r="T828" t="n">
        <v>1</v>
      </c>
      <c r="U828" t="inlineStr">
        <is>
          <t>2004-10-11</t>
        </is>
      </c>
      <c r="V828" t="inlineStr">
        <is>
          <t>2004-10-11</t>
        </is>
      </c>
      <c r="W828" t="inlineStr">
        <is>
          <t>1997-09-17</t>
        </is>
      </c>
      <c r="X828" t="inlineStr">
        <is>
          <t>1997-09-17</t>
        </is>
      </c>
      <c r="Y828" t="n">
        <v>486</v>
      </c>
      <c r="Z828" t="n">
        <v>384</v>
      </c>
      <c r="AA828" t="n">
        <v>389</v>
      </c>
      <c r="AB828" t="n">
        <v>2</v>
      </c>
      <c r="AC828" t="n">
        <v>2</v>
      </c>
      <c r="AD828" t="n">
        <v>12</v>
      </c>
      <c r="AE828" t="n">
        <v>12</v>
      </c>
      <c r="AF828" t="n">
        <v>6</v>
      </c>
      <c r="AG828" t="n">
        <v>6</v>
      </c>
      <c r="AH828" t="n">
        <v>3</v>
      </c>
      <c r="AI828" t="n">
        <v>3</v>
      </c>
      <c r="AJ828" t="n">
        <v>6</v>
      </c>
      <c r="AK828" t="n">
        <v>6</v>
      </c>
      <c r="AL828" t="n">
        <v>1</v>
      </c>
      <c r="AM828" t="n">
        <v>1</v>
      </c>
      <c r="AN828" t="n">
        <v>0</v>
      </c>
      <c r="AO828" t="n">
        <v>0</v>
      </c>
      <c r="AP828" t="inlineStr">
        <is>
          <t>No</t>
        </is>
      </c>
      <c r="AQ828" t="inlineStr">
        <is>
          <t>Yes</t>
        </is>
      </c>
      <c r="AR828">
        <f>HYPERLINK("http://catalog.hathitrust.org/Record/001009766","HathiTrust Record")</f>
        <v/>
      </c>
      <c r="AS828">
        <f>HYPERLINK("https://creighton-primo.hosted.exlibrisgroup.com/primo-explore/search?tab=default_tab&amp;search_scope=EVERYTHING&amp;vid=01CRU&amp;lang=en_US&amp;offset=0&amp;query=any,contains,991003040199702656","Catalog Record")</f>
        <v/>
      </c>
      <c r="AT828">
        <f>HYPERLINK("http://www.worldcat.org/oclc/601702","WorldCat Record")</f>
        <v/>
      </c>
      <c r="AU828" t="inlineStr">
        <is>
          <t>1603207:eng</t>
        </is>
      </c>
      <c r="AV828" t="inlineStr">
        <is>
          <t>601702</t>
        </is>
      </c>
      <c r="AW828" t="inlineStr">
        <is>
          <t>991003040199702656</t>
        </is>
      </c>
      <c r="AX828" t="inlineStr">
        <is>
          <t>991003040199702656</t>
        </is>
      </c>
      <c r="AY828" t="inlineStr">
        <is>
          <t>2261666530002656</t>
        </is>
      </c>
      <c r="AZ828" t="inlineStr">
        <is>
          <t>BOOK</t>
        </is>
      </c>
      <c r="BC828" t="inlineStr">
        <is>
          <t>32285003235644</t>
        </is>
      </c>
      <c r="BD828" t="inlineStr">
        <is>
          <t>893329892</t>
        </is>
      </c>
    </row>
    <row r="829">
      <c r="A829" t="inlineStr">
        <is>
          <t>No</t>
        </is>
      </c>
      <c r="B829" t="inlineStr">
        <is>
          <t>PL826.N3 O513 1985</t>
        </is>
      </c>
      <c r="C829" t="inlineStr">
        <is>
          <t>0                      PL 0826000N  3                  O  513         1985</t>
        </is>
      </c>
      <c r="D829" t="inlineStr">
        <is>
          <t>Masks / Fumiko Enchi ; translated by Juliet Winters Carpenter.</t>
        </is>
      </c>
      <c r="F829" t="inlineStr">
        <is>
          <t>No</t>
        </is>
      </c>
      <c r="G829" t="inlineStr">
        <is>
          <t>1</t>
        </is>
      </c>
      <c r="H829" t="inlineStr">
        <is>
          <t>No</t>
        </is>
      </c>
      <c r="I829" t="inlineStr">
        <is>
          <t>No</t>
        </is>
      </c>
      <c r="J829" t="inlineStr">
        <is>
          <t>0</t>
        </is>
      </c>
      <c r="K829" t="inlineStr">
        <is>
          <t>Enchi, Fumiko, 1905-1986.</t>
        </is>
      </c>
      <c r="L829" t="inlineStr">
        <is>
          <t>London : Arena, 1985, 1983.</t>
        </is>
      </c>
      <c r="M829" t="inlineStr">
        <is>
          <t>1985</t>
        </is>
      </c>
      <c r="O829" t="inlineStr">
        <is>
          <t>eng</t>
        </is>
      </c>
      <c r="P829" t="inlineStr">
        <is>
          <t>enk</t>
        </is>
      </c>
      <c r="R829" t="inlineStr">
        <is>
          <t xml:space="preserve">PL </t>
        </is>
      </c>
      <c r="S829" t="n">
        <v>2</v>
      </c>
      <c r="T829" t="n">
        <v>2</v>
      </c>
      <c r="U829" t="inlineStr">
        <is>
          <t>2002-02-08</t>
        </is>
      </c>
      <c r="V829" t="inlineStr">
        <is>
          <t>2002-02-08</t>
        </is>
      </c>
      <c r="W829" t="inlineStr">
        <is>
          <t>1993-05-04</t>
        </is>
      </c>
      <c r="X829" t="inlineStr">
        <is>
          <t>1993-05-04</t>
        </is>
      </c>
      <c r="Y829" t="n">
        <v>20</v>
      </c>
      <c r="Z829" t="n">
        <v>7</v>
      </c>
      <c r="AA829" t="n">
        <v>665</v>
      </c>
      <c r="AB829" t="n">
        <v>1</v>
      </c>
      <c r="AC829" t="n">
        <v>6</v>
      </c>
      <c r="AD829" t="n">
        <v>0</v>
      </c>
      <c r="AE829" t="n">
        <v>21</v>
      </c>
      <c r="AF829" t="n">
        <v>0</v>
      </c>
      <c r="AG829" t="n">
        <v>6</v>
      </c>
      <c r="AH829" t="n">
        <v>0</v>
      </c>
      <c r="AI829" t="n">
        <v>6</v>
      </c>
      <c r="AJ829" t="n">
        <v>0</v>
      </c>
      <c r="AK829" t="n">
        <v>10</v>
      </c>
      <c r="AL829" t="n">
        <v>0</v>
      </c>
      <c r="AM829" t="n">
        <v>3</v>
      </c>
      <c r="AN829" t="n">
        <v>0</v>
      </c>
      <c r="AO829" t="n">
        <v>0</v>
      </c>
      <c r="AP829" t="inlineStr">
        <is>
          <t>No</t>
        </is>
      </c>
      <c r="AQ829" t="inlineStr">
        <is>
          <t>No</t>
        </is>
      </c>
      <c r="AS829">
        <f>HYPERLINK("https://creighton-primo.hosted.exlibrisgroup.com/primo-explore/search?tab=default_tab&amp;search_scope=EVERYTHING&amp;vid=01CRU&amp;lang=en_US&amp;offset=0&amp;query=any,contains,991000727639702656","Catalog Record")</f>
        <v/>
      </c>
      <c r="AT829">
        <f>HYPERLINK("http://www.worldcat.org/oclc/12713107","WorldCat Record")</f>
        <v/>
      </c>
      <c r="AU829" t="inlineStr">
        <is>
          <t>353366766:eng</t>
        </is>
      </c>
      <c r="AV829" t="inlineStr">
        <is>
          <t>12713107</t>
        </is>
      </c>
      <c r="AW829" t="inlineStr">
        <is>
          <t>991000727639702656</t>
        </is>
      </c>
      <c r="AX829" t="inlineStr">
        <is>
          <t>991000727639702656</t>
        </is>
      </c>
      <c r="AY829" t="inlineStr">
        <is>
          <t>2262834790002656</t>
        </is>
      </c>
      <c r="AZ829" t="inlineStr">
        <is>
          <t>BOOK</t>
        </is>
      </c>
      <c r="BB829" t="inlineStr">
        <is>
          <t>9780099414605</t>
        </is>
      </c>
      <c r="BC829" t="inlineStr">
        <is>
          <t>32285001671923</t>
        </is>
      </c>
      <c r="BD829" t="inlineStr">
        <is>
          <t>893702377</t>
        </is>
      </c>
    </row>
    <row r="830">
      <c r="A830" t="inlineStr">
        <is>
          <t>No</t>
        </is>
      </c>
      <c r="B830" t="inlineStr">
        <is>
          <t>PL832.A9 A25 1998</t>
        </is>
      </c>
      <c r="C830" t="inlineStr">
        <is>
          <t>0                      PL 0832000A  9                  A  25          1998</t>
        </is>
      </c>
      <c r="D830" t="inlineStr">
        <is>
          <t>The dancing girl of Izu and other stories / Yasunari Kawabata ; translated by J. Martin Holman.</t>
        </is>
      </c>
      <c r="F830" t="inlineStr">
        <is>
          <t>No</t>
        </is>
      </c>
      <c r="G830" t="inlineStr">
        <is>
          <t>1</t>
        </is>
      </c>
      <c r="H830" t="inlineStr">
        <is>
          <t>No</t>
        </is>
      </c>
      <c r="I830" t="inlineStr">
        <is>
          <t>No</t>
        </is>
      </c>
      <c r="J830" t="inlineStr">
        <is>
          <t>0</t>
        </is>
      </c>
      <c r="K830" t="inlineStr">
        <is>
          <t>Kawabata, Yasunari, 1899-1972.</t>
        </is>
      </c>
      <c r="L830" t="inlineStr">
        <is>
          <t>Washington, D.C. : Counterpoint, 1998.</t>
        </is>
      </c>
      <c r="M830" t="inlineStr">
        <is>
          <t>1998</t>
        </is>
      </c>
      <c r="N830" t="inlineStr">
        <is>
          <t>1st pbk. ed.</t>
        </is>
      </c>
      <c r="O830" t="inlineStr">
        <is>
          <t>eng</t>
        </is>
      </c>
      <c r="P830" t="inlineStr">
        <is>
          <t>dcu</t>
        </is>
      </c>
      <c r="R830" t="inlineStr">
        <is>
          <t xml:space="preserve">PL </t>
        </is>
      </c>
      <c r="S830" t="n">
        <v>1</v>
      </c>
      <c r="T830" t="n">
        <v>1</v>
      </c>
      <c r="U830" t="inlineStr">
        <is>
          <t>2009-01-12</t>
        </is>
      </c>
      <c r="V830" t="inlineStr">
        <is>
          <t>2009-01-12</t>
        </is>
      </c>
      <c r="W830" t="inlineStr">
        <is>
          <t>2009-01-12</t>
        </is>
      </c>
      <c r="X830" t="inlineStr">
        <is>
          <t>2009-01-12</t>
        </is>
      </c>
      <c r="Y830" t="n">
        <v>344</v>
      </c>
      <c r="Z830" t="n">
        <v>323</v>
      </c>
      <c r="AA830" t="n">
        <v>397</v>
      </c>
      <c r="AB830" t="n">
        <v>1</v>
      </c>
      <c r="AC830" t="n">
        <v>2</v>
      </c>
      <c r="AD830" t="n">
        <v>4</v>
      </c>
      <c r="AE830" t="n">
        <v>7</v>
      </c>
      <c r="AF830" t="n">
        <v>0</v>
      </c>
      <c r="AG830" t="n">
        <v>0</v>
      </c>
      <c r="AH830" t="n">
        <v>0</v>
      </c>
      <c r="AI830" t="n">
        <v>2</v>
      </c>
      <c r="AJ830" t="n">
        <v>4</v>
      </c>
      <c r="AK830" t="n">
        <v>5</v>
      </c>
      <c r="AL830" t="n">
        <v>0</v>
      </c>
      <c r="AM830" t="n">
        <v>1</v>
      </c>
      <c r="AN830" t="n">
        <v>0</v>
      </c>
      <c r="AO830" t="n">
        <v>0</v>
      </c>
      <c r="AP830" t="inlineStr">
        <is>
          <t>No</t>
        </is>
      </c>
      <c r="AQ830" t="inlineStr">
        <is>
          <t>Yes</t>
        </is>
      </c>
      <c r="AR830">
        <f>HYPERLINK("http://catalog.hathitrust.org/Record/003967395","HathiTrust Record")</f>
        <v/>
      </c>
      <c r="AS830">
        <f>HYPERLINK("https://creighton-primo.hosted.exlibrisgroup.com/primo-explore/search?tab=default_tab&amp;search_scope=EVERYTHING&amp;vid=01CRU&amp;lang=en_US&amp;offset=0&amp;query=any,contains,991005289309702656","Catalog Record")</f>
        <v/>
      </c>
      <c r="AT830">
        <f>HYPERLINK("http://www.worldcat.org/oclc/37211335","WorldCat Record")</f>
        <v/>
      </c>
      <c r="AU830" t="inlineStr">
        <is>
          <t>227103258:eng</t>
        </is>
      </c>
      <c r="AV830" t="inlineStr">
        <is>
          <t>37211335</t>
        </is>
      </c>
      <c r="AW830" t="inlineStr">
        <is>
          <t>991005289309702656</t>
        </is>
      </c>
      <c r="AX830" t="inlineStr">
        <is>
          <t>991005289309702656</t>
        </is>
      </c>
      <c r="AY830" t="inlineStr">
        <is>
          <t>2258814200002656</t>
        </is>
      </c>
      <c r="AZ830" t="inlineStr">
        <is>
          <t>BOOK</t>
        </is>
      </c>
      <c r="BB830" t="inlineStr">
        <is>
          <t>9781887178143</t>
        </is>
      </c>
      <c r="BC830" t="inlineStr">
        <is>
          <t>32285005476469</t>
        </is>
      </c>
      <c r="BD830" t="inlineStr">
        <is>
          <t>893889978</t>
        </is>
      </c>
    </row>
    <row r="831">
      <c r="A831" t="inlineStr">
        <is>
          <t>No</t>
        </is>
      </c>
      <c r="B831" t="inlineStr">
        <is>
          <t>PL832.A9 A8913 2005</t>
        </is>
      </c>
      <c r="C831" t="inlineStr">
        <is>
          <t>0                      PL 0832000A  9                  A  8913        2005</t>
        </is>
      </c>
      <c r="D831" t="inlineStr">
        <is>
          <t>The Scarlet gang of Asakusa / Yasunari Kawabata ; translated with preface and notes by Alisa Freedman ; foreword and afterword by Donald Richie ; illustrated by Ōta Saburō.</t>
        </is>
      </c>
      <c r="F831" t="inlineStr">
        <is>
          <t>No</t>
        </is>
      </c>
      <c r="G831" t="inlineStr">
        <is>
          <t>1</t>
        </is>
      </c>
      <c r="H831" t="inlineStr">
        <is>
          <t>No</t>
        </is>
      </c>
      <c r="I831" t="inlineStr">
        <is>
          <t>No</t>
        </is>
      </c>
      <c r="J831" t="inlineStr">
        <is>
          <t>0</t>
        </is>
      </c>
      <c r="K831" t="inlineStr">
        <is>
          <t>Kawabata, Yasunari, 1899-1972.</t>
        </is>
      </c>
      <c r="L831" t="inlineStr">
        <is>
          <t>Berkeley, Calif. : University of California Press, c2005.</t>
        </is>
      </c>
      <c r="M831" t="inlineStr">
        <is>
          <t>2005</t>
        </is>
      </c>
      <c r="O831" t="inlineStr">
        <is>
          <t>eng</t>
        </is>
      </c>
      <c r="P831" t="inlineStr">
        <is>
          <t>cau</t>
        </is>
      </c>
      <c r="R831" t="inlineStr">
        <is>
          <t xml:space="preserve">PL </t>
        </is>
      </c>
      <c r="S831" t="n">
        <v>3</v>
      </c>
      <c r="T831" t="n">
        <v>3</v>
      </c>
      <c r="U831" t="inlineStr">
        <is>
          <t>2009-01-05</t>
        </is>
      </c>
      <c r="V831" t="inlineStr">
        <is>
          <t>2009-01-05</t>
        </is>
      </c>
      <c r="W831" t="inlineStr">
        <is>
          <t>2005-07-06</t>
        </is>
      </c>
      <c r="X831" t="inlineStr">
        <is>
          <t>2005-07-06</t>
        </is>
      </c>
      <c r="Y831" t="n">
        <v>469</v>
      </c>
      <c r="Z831" t="n">
        <v>413</v>
      </c>
      <c r="AA831" t="n">
        <v>414</v>
      </c>
      <c r="AB831" t="n">
        <v>1</v>
      </c>
      <c r="AC831" t="n">
        <v>1</v>
      </c>
      <c r="AD831" t="n">
        <v>12</v>
      </c>
      <c r="AE831" t="n">
        <v>12</v>
      </c>
      <c r="AF831" t="n">
        <v>4</v>
      </c>
      <c r="AG831" t="n">
        <v>4</v>
      </c>
      <c r="AH831" t="n">
        <v>5</v>
      </c>
      <c r="AI831" t="n">
        <v>5</v>
      </c>
      <c r="AJ831" t="n">
        <v>7</v>
      </c>
      <c r="AK831" t="n">
        <v>7</v>
      </c>
      <c r="AL831" t="n">
        <v>0</v>
      </c>
      <c r="AM831" t="n">
        <v>0</v>
      </c>
      <c r="AN831" t="n">
        <v>0</v>
      </c>
      <c r="AO831" t="n">
        <v>0</v>
      </c>
      <c r="AP831" t="inlineStr">
        <is>
          <t>No</t>
        </is>
      </c>
      <c r="AQ831" t="inlineStr">
        <is>
          <t>Yes</t>
        </is>
      </c>
      <c r="AR831">
        <f>HYPERLINK("http://catalog.hathitrust.org/Record/004971414","HathiTrust Record")</f>
        <v/>
      </c>
      <c r="AS831">
        <f>HYPERLINK("https://creighton-primo.hosted.exlibrisgroup.com/primo-explore/search?tab=default_tab&amp;search_scope=EVERYTHING&amp;vid=01CRU&amp;lang=en_US&amp;offset=0&amp;query=any,contains,991004581699702656","Catalog Record")</f>
        <v/>
      </c>
      <c r="AT831">
        <f>HYPERLINK("http://www.worldcat.org/oclc/55208364","WorldCat Record")</f>
        <v/>
      </c>
      <c r="AU831" t="inlineStr">
        <is>
          <t>2909594289:eng</t>
        </is>
      </c>
      <c r="AV831" t="inlineStr">
        <is>
          <t>55208364</t>
        </is>
      </c>
      <c r="AW831" t="inlineStr">
        <is>
          <t>991004581699702656</t>
        </is>
      </c>
      <c r="AX831" t="inlineStr">
        <is>
          <t>991004581699702656</t>
        </is>
      </c>
      <c r="AY831" t="inlineStr">
        <is>
          <t>2267878370002656</t>
        </is>
      </c>
      <c r="AZ831" t="inlineStr">
        <is>
          <t>BOOK</t>
        </is>
      </c>
      <c r="BB831" t="inlineStr">
        <is>
          <t>9780520241817</t>
        </is>
      </c>
      <c r="BC831" t="inlineStr">
        <is>
          <t>32285005094809</t>
        </is>
      </c>
      <c r="BD831" t="inlineStr">
        <is>
          <t>893782391</t>
        </is>
      </c>
    </row>
    <row r="832">
      <c r="A832" t="inlineStr">
        <is>
          <t>No</t>
        </is>
      </c>
      <c r="B832" t="inlineStr">
        <is>
          <t>PL832.A9 J3 1981</t>
        </is>
      </c>
      <c r="C832" t="inlineStr">
        <is>
          <t>0                      PL 0832000A  9                  J  3           1981</t>
        </is>
      </c>
      <c r="D832" t="inlineStr">
        <is>
          <t>Japan, the beautiful, and myself / Yasunari Kawabata ; the 1968 Nobel Prize acceptance speech, translated by Edward Seidensticker.</t>
        </is>
      </c>
      <c r="F832" t="inlineStr">
        <is>
          <t>No</t>
        </is>
      </c>
      <c r="G832" t="inlineStr">
        <is>
          <t>1</t>
        </is>
      </c>
      <c r="H832" t="inlineStr">
        <is>
          <t>No</t>
        </is>
      </c>
      <c r="I832" t="inlineStr">
        <is>
          <t>No</t>
        </is>
      </c>
      <c r="J832" t="inlineStr">
        <is>
          <t>0</t>
        </is>
      </c>
      <c r="K832" t="inlineStr">
        <is>
          <t>Kawabata, Yasunari, 1899-1972.</t>
        </is>
      </c>
      <c r="L832" t="inlineStr">
        <is>
          <t>Tokyo ; New York : Kodanasha International, 1981.</t>
        </is>
      </c>
      <c r="M832" t="inlineStr">
        <is>
          <t>1981</t>
        </is>
      </c>
      <c r="N832" t="inlineStr">
        <is>
          <t>2nd paperback ed.</t>
        </is>
      </c>
      <c r="O832" t="inlineStr">
        <is>
          <t>eng</t>
        </is>
      </c>
      <c r="P832" t="inlineStr">
        <is>
          <t xml:space="preserve">ja </t>
        </is>
      </c>
      <c r="R832" t="inlineStr">
        <is>
          <t xml:space="preserve">PL </t>
        </is>
      </c>
      <c r="S832" t="n">
        <v>8</v>
      </c>
      <c r="T832" t="n">
        <v>8</v>
      </c>
      <c r="U832" t="inlineStr">
        <is>
          <t>2005-12-05</t>
        </is>
      </c>
      <c r="V832" t="inlineStr">
        <is>
          <t>2005-12-05</t>
        </is>
      </c>
      <c r="W832" t="inlineStr">
        <is>
          <t>1993-05-04</t>
        </is>
      </c>
      <c r="X832" t="inlineStr">
        <is>
          <t>1993-05-04</t>
        </is>
      </c>
      <c r="Y832" t="n">
        <v>62</v>
      </c>
      <c r="Z832" t="n">
        <v>49</v>
      </c>
      <c r="AA832" t="n">
        <v>317</v>
      </c>
      <c r="AB832" t="n">
        <v>1</v>
      </c>
      <c r="AC832" t="n">
        <v>2</v>
      </c>
      <c r="AD832" t="n">
        <v>0</v>
      </c>
      <c r="AE832" t="n">
        <v>9</v>
      </c>
      <c r="AF832" t="n">
        <v>0</v>
      </c>
      <c r="AG832" t="n">
        <v>3</v>
      </c>
      <c r="AH832" t="n">
        <v>0</v>
      </c>
      <c r="AI832" t="n">
        <v>1</v>
      </c>
      <c r="AJ832" t="n">
        <v>0</v>
      </c>
      <c r="AK832" t="n">
        <v>6</v>
      </c>
      <c r="AL832" t="n">
        <v>0</v>
      </c>
      <c r="AM832" t="n">
        <v>1</v>
      </c>
      <c r="AN832" t="n">
        <v>0</v>
      </c>
      <c r="AO832" t="n">
        <v>0</v>
      </c>
      <c r="AP832" t="inlineStr">
        <is>
          <t>No</t>
        </is>
      </c>
      <c r="AQ832" t="inlineStr">
        <is>
          <t>No</t>
        </is>
      </c>
      <c r="AS832">
        <f>HYPERLINK("https://creighton-primo.hosted.exlibrisgroup.com/primo-explore/search?tab=default_tab&amp;search_scope=EVERYTHING&amp;vid=01CRU&amp;lang=en_US&amp;offset=0&amp;query=any,contains,991005202939702656","Catalog Record")</f>
        <v/>
      </c>
      <c r="AT832">
        <f>HYPERLINK("http://www.worldcat.org/oclc/14354911","WorldCat Record")</f>
        <v/>
      </c>
      <c r="AU832" t="inlineStr">
        <is>
          <t>2564802480:eng</t>
        </is>
      </c>
      <c r="AV832" t="inlineStr">
        <is>
          <t>14354911</t>
        </is>
      </c>
      <c r="AW832" t="inlineStr">
        <is>
          <t>991005202939702656</t>
        </is>
      </c>
      <c r="AX832" t="inlineStr">
        <is>
          <t>991005202939702656</t>
        </is>
      </c>
      <c r="AY832" t="inlineStr">
        <is>
          <t>2262209760002656</t>
        </is>
      </c>
      <c r="AZ832" t="inlineStr">
        <is>
          <t>BOOK</t>
        </is>
      </c>
      <c r="BB832" t="inlineStr">
        <is>
          <t>9780870110887</t>
        </is>
      </c>
      <c r="BC832" t="inlineStr">
        <is>
          <t>32285001671949</t>
        </is>
      </c>
      <c r="BD832" t="inlineStr">
        <is>
          <t>893248538</t>
        </is>
      </c>
    </row>
    <row r="833">
      <c r="A833" t="inlineStr">
        <is>
          <t>No</t>
        </is>
      </c>
      <c r="B833" t="inlineStr">
        <is>
          <t>PL832.A9 M3</t>
        </is>
      </c>
      <c r="C833" t="inlineStr">
        <is>
          <t>0                      PL 0832000A  9                  M  3</t>
        </is>
      </c>
      <c r="D833" t="inlineStr">
        <is>
          <t>The master of go. Translated from the Japanese by Edward G. Seidensticker.</t>
        </is>
      </c>
      <c r="F833" t="inlineStr">
        <is>
          <t>No</t>
        </is>
      </c>
      <c r="G833" t="inlineStr">
        <is>
          <t>1</t>
        </is>
      </c>
      <c r="H833" t="inlineStr">
        <is>
          <t>No</t>
        </is>
      </c>
      <c r="I833" t="inlineStr">
        <is>
          <t>No</t>
        </is>
      </c>
      <c r="J833" t="inlineStr">
        <is>
          <t>0</t>
        </is>
      </c>
      <c r="K833" t="inlineStr">
        <is>
          <t>Kawabata, Yasunari, 1899-1972.</t>
        </is>
      </c>
      <c r="L833" t="inlineStr">
        <is>
          <t>New York, Knopf; [distributed by Random House] 1972.</t>
        </is>
      </c>
      <c r="M833" t="inlineStr">
        <is>
          <t>1972</t>
        </is>
      </c>
      <c r="N833" t="inlineStr">
        <is>
          <t>[1st American ed.]</t>
        </is>
      </c>
      <c r="O833" t="inlineStr">
        <is>
          <t>eng</t>
        </is>
      </c>
      <c r="P833" t="inlineStr">
        <is>
          <t>nyu</t>
        </is>
      </c>
      <c r="R833" t="inlineStr">
        <is>
          <t xml:space="preserve">PL </t>
        </is>
      </c>
      <c r="S833" t="n">
        <v>1</v>
      </c>
      <c r="T833" t="n">
        <v>1</v>
      </c>
      <c r="U833" t="inlineStr">
        <is>
          <t>2002-02-08</t>
        </is>
      </c>
      <c r="V833" t="inlineStr">
        <is>
          <t>2002-02-08</t>
        </is>
      </c>
      <c r="W833" t="inlineStr">
        <is>
          <t>1997-09-16</t>
        </is>
      </c>
      <c r="X833" t="inlineStr">
        <is>
          <t>1997-09-16</t>
        </is>
      </c>
      <c r="Y833" t="n">
        <v>833</v>
      </c>
      <c r="Z833" t="n">
        <v>772</v>
      </c>
      <c r="AA833" t="n">
        <v>1072</v>
      </c>
      <c r="AB833" t="n">
        <v>5</v>
      </c>
      <c r="AC833" t="n">
        <v>6</v>
      </c>
      <c r="AD833" t="n">
        <v>24</v>
      </c>
      <c r="AE833" t="n">
        <v>36</v>
      </c>
      <c r="AF833" t="n">
        <v>11</v>
      </c>
      <c r="AG833" t="n">
        <v>15</v>
      </c>
      <c r="AH833" t="n">
        <v>4</v>
      </c>
      <c r="AI833" t="n">
        <v>8</v>
      </c>
      <c r="AJ833" t="n">
        <v>11</v>
      </c>
      <c r="AK833" t="n">
        <v>20</v>
      </c>
      <c r="AL833" t="n">
        <v>3</v>
      </c>
      <c r="AM833" t="n">
        <v>4</v>
      </c>
      <c r="AN833" t="n">
        <v>0</v>
      </c>
      <c r="AO833" t="n">
        <v>0</v>
      </c>
      <c r="AP833" t="inlineStr">
        <is>
          <t>No</t>
        </is>
      </c>
      <c r="AQ833" t="inlineStr">
        <is>
          <t>Yes</t>
        </is>
      </c>
      <c r="AR833">
        <f>HYPERLINK("http://catalog.hathitrust.org/Record/001184864","HathiTrust Record")</f>
        <v/>
      </c>
      <c r="AS833">
        <f>HYPERLINK("https://creighton-primo.hosted.exlibrisgroup.com/primo-explore/search?tab=default_tab&amp;search_scope=EVERYTHING&amp;vid=01CRU&amp;lang=en_US&amp;offset=0&amp;query=any,contains,991002247789702656","Catalog Record")</f>
        <v/>
      </c>
      <c r="AT833">
        <f>HYPERLINK("http://www.worldcat.org/oclc/297841","WorldCat Record")</f>
        <v/>
      </c>
      <c r="AU833" t="inlineStr">
        <is>
          <t>2863547697:eng</t>
        </is>
      </c>
      <c r="AV833" t="inlineStr">
        <is>
          <t>297841</t>
        </is>
      </c>
      <c r="AW833" t="inlineStr">
        <is>
          <t>991002247789702656</t>
        </is>
      </c>
      <c r="AX833" t="inlineStr">
        <is>
          <t>991002247789702656</t>
        </is>
      </c>
      <c r="AY833" t="inlineStr">
        <is>
          <t>2264826000002656</t>
        </is>
      </c>
      <c r="AZ833" t="inlineStr">
        <is>
          <t>BOOK</t>
        </is>
      </c>
      <c r="BB833" t="inlineStr">
        <is>
          <t>9780394475417</t>
        </is>
      </c>
      <c r="BC833" t="inlineStr">
        <is>
          <t>32285003224515</t>
        </is>
      </c>
      <c r="BD833" t="inlineStr">
        <is>
          <t>893335088</t>
        </is>
      </c>
    </row>
    <row r="834">
      <c r="A834" t="inlineStr">
        <is>
          <t>No</t>
        </is>
      </c>
      <c r="B834" t="inlineStr">
        <is>
          <t>PL832.A9 U813 1996</t>
        </is>
      </c>
      <c r="C834" t="inlineStr">
        <is>
          <t>0                      PL 0832000A  9                  U  813         1996</t>
        </is>
      </c>
      <c r="D834" t="inlineStr">
        <is>
          <t>Beauty and sadness / Yasunari Kawabata ; translated by Howard S. Hibbett.</t>
        </is>
      </c>
      <c r="F834" t="inlineStr">
        <is>
          <t>No</t>
        </is>
      </c>
      <c r="G834" t="inlineStr">
        <is>
          <t>1</t>
        </is>
      </c>
      <c r="H834" t="inlineStr">
        <is>
          <t>No</t>
        </is>
      </c>
      <c r="I834" t="inlineStr">
        <is>
          <t>No</t>
        </is>
      </c>
      <c r="J834" t="inlineStr">
        <is>
          <t>0</t>
        </is>
      </c>
      <c r="K834" t="inlineStr">
        <is>
          <t>Kawabata, Yasunari, 1899-1972.</t>
        </is>
      </c>
      <c r="L834" t="inlineStr">
        <is>
          <t>New York : Vintage International, 1996.</t>
        </is>
      </c>
      <c r="M834" t="inlineStr">
        <is>
          <t>1996</t>
        </is>
      </c>
      <c r="N834" t="inlineStr">
        <is>
          <t>1st Vintage International ed.</t>
        </is>
      </c>
      <c r="O834" t="inlineStr">
        <is>
          <t>eng</t>
        </is>
      </c>
      <c r="P834" t="inlineStr">
        <is>
          <t>nyu</t>
        </is>
      </c>
      <c r="R834" t="inlineStr">
        <is>
          <t xml:space="preserve">PL </t>
        </is>
      </c>
      <c r="S834" t="n">
        <v>6</v>
      </c>
      <c r="T834" t="n">
        <v>6</v>
      </c>
      <c r="U834" t="inlineStr">
        <is>
          <t>2004-06-11</t>
        </is>
      </c>
      <c r="V834" t="inlineStr">
        <is>
          <t>2004-06-11</t>
        </is>
      </c>
      <c r="W834" t="inlineStr">
        <is>
          <t>1996-07-08</t>
        </is>
      </c>
      <c r="X834" t="inlineStr">
        <is>
          <t>1996-07-08</t>
        </is>
      </c>
      <c r="Y834" t="n">
        <v>186</v>
      </c>
      <c r="Z834" t="n">
        <v>157</v>
      </c>
      <c r="AA834" t="n">
        <v>978</v>
      </c>
      <c r="AB834" t="n">
        <v>1</v>
      </c>
      <c r="AC834" t="n">
        <v>8</v>
      </c>
      <c r="AD834" t="n">
        <v>3</v>
      </c>
      <c r="AE834" t="n">
        <v>34</v>
      </c>
      <c r="AF834" t="n">
        <v>2</v>
      </c>
      <c r="AG834" t="n">
        <v>14</v>
      </c>
      <c r="AH834" t="n">
        <v>2</v>
      </c>
      <c r="AI834" t="n">
        <v>7</v>
      </c>
      <c r="AJ834" t="n">
        <v>1</v>
      </c>
      <c r="AK834" t="n">
        <v>18</v>
      </c>
      <c r="AL834" t="n">
        <v>0</v>
      </c>
      <c r="AM834" t="n">
        <v>5</v>
      </c>
      <c r="AN834" t="n">
        <v>0</v>
      </c>
      <c r="AO834" t="n">
        <v>0</v>
      </c>
      <c r="AP834" t="inlineStr">
        <is>
          <t>No</t>
        </is>
      </c>
      <c r="AQ834" t="inlineStr">
        <is>
          <t>No</t>
        </is>
      </c>
      <c r="AS834">
        <f>HYPERLINK("https://creighton-primo.hosted.exlibrisgroup.com/primo-explore/search?tab=default_tab&amp;search_scope=EVERYTHING&amp;vid=01CRU&amp;lang=en_US&amp;offset=0&amp;query=any,contains,991002627209702656","Catalog Record")</f>
        <v/>
      </c>
      <c r="AT834">
        <f>HYPERLINK("http://www.worldcat.org/oclc/34458652","WorldCat Record")</f>
        <v/>
      </c>
      <c r="AU834" t="inlineStr">
        <is>
          <t>1862305191:eng</t>
        </is>
      </c>
      <c r="AV834" t="inlineStr">
        <is>
          <t>34458652</t>
        </is>
      </c>
      <c r="AW834" t="inlineStr">
        <is>
          <t>991002627209702656</t>
        </is>
      </c>
      <c r="AX834" t="inlineStr">
        <is>
          <t>991002627209702656</t>
        </is>
      </c>
      <c r="AY834" t="inlineStr">
        <is>
          <t>2255375780002656</t>
        </is>
      </c>
      <c r="AZ834" t="inlineStr">
        <is>
          <t>BOOK</t>
        </is>
      </c>
      <c r="BB834" t="inlineStr">
        <is>
          <t>9780679761051</t>
        </is>
      </c>
      <c r="BC834" t="inlineStr">
        <is>
          <t>32285002207156</t>
        </is>
      </c>
      <c r="BD834" t="inlineStr">
        <is>
          <t>893773832</t>
        </is>
      </c>
    </row>
    <row r="835">
      <c r="A835" t="inlineStr">
        <is>
          <t>No</t>
        </is>
      </c>
      <c r="B835" t="inlineStr">
        <is>
          <t>PL832.A9 Y313 1996</t>
        </is>
      </c>
      <c r="C835" t="inlineStr">
        <is>
          <t>0                      PL 0832000A  9                  Y  313         1996</t>
        </is>
      </c>
      <c r="D835" t="inlineStr">
        <is>
          <t>The sound of the mountain / Yasunari Kawabata ; translated from the Japanese by Edward G. Seidensticker.</t>
        </is>
      </c>
      <c r="F835" t="inlineStr">
        <is>
          <t>No</t>
        </is>
      </c>
      <c r="G835" t="inlineStr">
        <is>
          <t>1</t>
        </is>
      </c>
      <c r="H835" t="inlineStr">
        <is>
          <t>No</t>
        </is>
      </c>
      <c r="I835" t="inlineStr">
        <is>
          <t>No</t>
        </is>
      </c>
      <c r="J835" t="inlineStr">
        <is>
          <t>0</t>
        </is>
      </c>
      <c r="K835" t="inlineStr">
        <is>
          <t>Kawabata, Yasunari, 1899-1972.</t>
        </is>
      </c>
      <c r="L835" t="inlineStr">
        <is>
          <t>New York : Vintage International, 1996.</t>
        </is>
      </c>
      <c r="M835" t="inlineStr">
        <is>
          <t>1996</t>
        </is>
      </c>
      <c r="N835" t="inlineStr">
        <is>
          <t>1st Vintage International ed.</t>
        </is>
      </c>
      <c r="O835" t="inlineStr">
        <is>
          <t>eng</t>
        </is>
      </c>
      <c r="P835" t="inlineStr">
        <is>
          <t>nyu</t>
        </is>
      </c>
      <c r="R835" t="inlineStr">
        <is>
          <t xml:space="preserve">PL </t>
        </is>
      </c>
      <c r="S835" t="n">
        <v>3</v>
      </c>
      <c r="T835" t="n">
        <v>3</v>
      </c>
      <c r="U835" t="inlineStr">
        <is>
          <t>2002-10-07</t>
        </is>
      </c>
      <c r="V835" t="inlineStr">
        <is>
          <t>2002-10-07</t>
        </is>
      </c>
      <c r="W835" t="inlineStr">
        <is>
          <t>1997-05-19</t>
        </is>
      </c>
      <c r="X835" t="inlineStr">
        <is>
          <t>1997-05-19</t>
        </is>
      </c>
      <c r="Y835" t="n">
        <v>183</v>
      </c>
      <c r="Z835" t="n">
        <v>158</v>
      </c>
      <c r="AA835" t="n">
        <v>1272</v>
      </c>
      <c r="AB835" t="n">
        <v>1</v>
      </c>
      <c r="AC835" t="n">
        <v>12</v>
      </c>
      <c r="AD835" t="n">
        <v>1</v>
      </c>
      <c r="AE835" t="n">
        <v>42</v>
      </c>
      <c r="AF835" t="n">
        <v>1</v>
      </c>
      <c r="AG835" t="n">
        <v>15</v>
      </c>
      <c r="AH835" t="n">
        <v>0</v>
      </c>
      <c r="AI835" t="n">
        <v>9</v>
      </c>
      <c r="AJ835" t="n">
        <v>1</v>
      </c>
      <c r="AK835" t="n">
        <v>21</v>
      </c>
      <c r="AL835" t="n">
        <v>0</v>
      </c>
      <c r="AM835" t="n">
        <v>8</v>
      </c>
      <c r="AN835" t="n">
        <v>0</v>
      </c>
      <c r="AO835" t="n">
        <v>0</v>
      </c>
      <c r="AP835" t="inlineStr">
        <is>
          <t>No</t>
        </is>
      </c>
      <c r="AQ835" t="inlineStr">
        <is>
          <t>No</t>
        </is>
      </c>
      <c r="AS835">
        <f>HYPERLINK("https://creighton-primo.hosted.exlibrisgroup.com/primo-explore/search?tab=default_tab&amp;search_scope=EVERYTHING&amp;vid=01CRU&amp;lang=en_US&amp;offset=0&amp;query=any,contains,991002674519702656","Catalog Record")</f>
        <v/>
      </c>
      <c r="AT835">
        <f>HYPERLINK("http://www.worldcat.org/oclc/34968659","WorldCat Record")</f>
        <v/>
      </c>
      <c r="AU835" t="inlineStr">
        <is>
          <t>462025:eng</t>
        </is>
      </c>
      <c r="AV835" t="inlineStr">
        <is>
          <t>34968659</t>
        </is>
      </c>
      <c r="AW835" t="inlineStr">
        <is>
          <t>991002674519702656</t>
        </is>
      </c>
      <c r="AX835" t="inlineStr">
        <is>
          <t>991002674519702656</t>
        </is>
      </c>
      <c r="AY835" t="inlineStr">
        <is>
          <t>2259820960002656</t>
        </is>
      </c>
      <c r="AZ835" t="inlineStr">
        <is>
          <t>BOOK</t>
        </is>
      </c>
      <c r="BB835" t="inlineStr">
        <is>
          <t>9780679762645</t>
        </is>
      </c>
      <c r="BC835" t="inlineStr">
        <is>
          <t>32285002609302</t>
        </is>
      </c>
      <c r="BD835" t="inlineStr">
        <is>
          <t>893415503</t>
        </is>
      </c>
    </row>
    <row r="836">
      <c r="A836" t="inlineStr">
        <is>
          <t>No</t>
        </is>
      </c>
      <c r="B836" t="inlineStr">
        <is>
          <t>PL832.O3 1968</t>
        </is>
      </c>
      <c r="C836" t="inlineStr">
        <is>
          <t>0                      PL 0832000O  3           1968</t>
        </is>
      </c>
      <c r="D836" t="inlineStr">
        <is>
          <t>The cannery boat, and other Japanese short stories.</t>
        </is>
      </c>
      <c r="F836" t="inlineStr">
        <is>
          <t>No</t>
        </is>
      </c>
      <c r="G836" t="inlineStr">
        <is>
          <t>1</t>
        </is>
      </c>
      <c r="H836" t="inlineStr">
        <is>
          <t>No</t>
        </is>
      </c>
      <c r="I836" t="inlineStr">
        <is>
          <t>No</t>
        </is>
      </c>
      <c r="J836" t="inlineStr">
        <is>
          <t>0</t>
        </is>
      </c>
      <c r="K836" t="inlineStr">
        <is>
          <t>Kobayashi, Takiji, 1903-1933.</t>
        </is>
      </c>
      <c r="L836" t="inlineStr">
        <is>
          <t>New York, Greenwood Press, 1968.</t>
        </is>
      </c>
      <c r="M836" t="inlineStr">
        <is>
          <t>1968</t>
        </is>
      </c>
      <c r="O836" t="inlineStr">
        <is>
          <t>eng</t>
        </is>
      </c>
      <c r="P836" t="inlineStr">
        <is>
          <t>nyu</t>
        </is>
      </c>
      <c r="R836" t="inlineStr">
        <is>
          <t xml:space="preserve">PL </t>
        </is>
      </c>
      <c r="S836" t="n">
        <v>1</v>
      </c>
      <c r="T836" t="n">
        <v>1</v>
      </c>
      <c r="U836" t="inlineStr">
        <is>
          <t>2007-11-13</t>
        </is>
      </c>
      <c r="V836" t="inlineStr">
        <is>
          <t>2007-11-13</t>
        </is>
      </c>
      <c r="W836" t="inlineStr">
        <is>
          <t>1997-09-16</t>
        </is>
      </c>
      <c r="X836" t="inlineStr">
        <is>
          <t>1997-09-16</t>
        </is>
      </c>
      <c r="Y836" t="n">
        <v>289</v>
      </c>
      <c r="Z836" t="n">
        <v>265</v>
      </c>
      <c r="AA836" t="n">
        <v>280</v>
      </c>
      <c r="AB836" t="n">
        <v>3</v>
      </c>
      <c r="AC836" t="n">
        <v>3</v>
      </c>
      <c r="AD836" t="n">
        <v>14</v>
      </c>
      <c r="AE836" t="n">
        <v>15</v>
      </c>
      <c r="AF836" t="n">
        <v>4</v>
      </c>
      <c r="AG836" t="n">
        <v>4</v>
      </c>
      <c r="AH836" t="n">
        <v>4</v>
      </c>
      <c r="AI836" t="n">
        <v>5</v>
      </c>
      <c r="AJ836" t="n">
        <v>6</v>
      </c>
      <c r="AK836" t="n">
        <v>7</v>
      </c>
      <c r="AL836" t="n">
        <v>2</v>
      </c>
      <c r="AM836" t="n">
        <v>2</v>
      </c>
      <c r="AN836" t="n">
        <v>0</v>
      </c>
      <c r="AO836" t="n">
        <v>0</v>
      </c>
      <c r="AP836" t="inlineStr">
        <is>
          <t>No</t>
        </is>
      </c>
      <c r="AQ836" t="inlineStr">
        <is>
          <t>Yes</t>
        </is>
      </c>
      <c r="AR836">
        <f>HYPERLINK("http://catalog.hathitrust.org/Record/006550031","HathiTrust Record")</f>
        <v/>
      </c>
      <c r="AS836">
        <f>HYPERLINK("https://creighton-primo.hosted.exlibrisgroup.com/primo-explore/search?tab=default_tab&amp;search_scope=EVERYTHING&amp;vid=01CRU&amp;lang=en_US&amp;offset=0&amp;query=any,contains,991005355049702656","Catalog Record")</f>
        <v/>
      </c>
      <c r="AT836">
        <f>HYPERLINK("http://www.worldcat.org/oclc/382942","WorldCat Record")</f>
        <v/>
      </c>
      <c r="AU836" t="inlineStr">
        <is>
          <t>1499171:eng</t>
        </is>
      </c>
      <c r="AV836" t="inlineStr">
        <is>
          <t>382942</t>
        </is>
      </c>
      <c r="AW836" t="inlineStr">
        <is>
          <t>991005355049702656</t>
        </is>
      </c>
      <c r="AX836" t="inlineStr">
        <is>
          <t>991005355049702656</t>
        </is>
      </c>
      <c r="AY836" t="inlineStr">
        <is>
          <t>2260350990002656</t>
        </is>
      </c>
      <c r="AZ836" t="inlineStr">
        <is>
          <t>BOOK</t>
        </is>
      </c>
      <c r="BC836" t="inlineStr">
        <is>
          <t>32285003224523</t>
        </is>
      </c>
      <c r="BD836" t="inlineStr">
        <is>
          <t>893338951</t>
        </is>
      </c>
    </row>
    <row r="837">
      <c r="A837" t="inlineStr">
        <is>
          <t>No</t>
        </is>
      </c>
      <c r="B837" t="inlineStr">
        <is>
          <t>PL832.O33 Z84 1999</t>
        </is>
      </c>
      <c r="C837" t="inlineStr">
        <is>
          <t>0                      PL 0832000O  33                 Z  84          1999</t>
        </is>
      </c>
      <c r="D837" t="inlineStr">
        <is>
          <t>Mirror : the fiction and essays of K*oda Aya / [Ann Sherif].</t>
        </is>
      </c>
      <c r="F837" t="inlineStr">
        <is>
          <t>No</t>
        </is>
      </c>
      <c r="G837" t="inlineStr">
        <is>
          <t>1</t>
        </is>
      </c>
      <c r="H837" t="inlineStr">
        <is>
          <t>No</t>
        </is>
      </c>
      <c r="I837" t="inlineStr">
        <is>
          <t>No</t>
        </is>
      </c>
      <c r="J837" t="inlineStr">
        <is>
          <t>0</t>
        </is>
      </c>
      <c r="K837" t="inlineStr">
        <is>
          <t>Sherif, Ann.</t>
        </is>
      </c>
      <c r="L837" t="inlineStr">
        <is>
          <t>Honolulu, Hawaii : University of Hawai'i Press, c1999.</t>
        </is>
      </c>
      <c r="M837" t="inlineStr">
        <is>
          <t>1999</t>
        </is>
      </c>
      <c r="O837" t="inlineStr">
        <is>
          <t>eng</t>
        </is>
      </c>
      <c r="P837" t="inlineStr">
        <is>
          <t>hiu</t>
        </is>
      </c>
      <c r="R837" t="inlineStr">
        <is>
          <t xml:space="preserve">PL </t>
        </is>
      </c>
      <c r="S837" t="n">
        <v>1</v>
      </c>
      <c r="T837" t="n">
        <v>1</v>
      </c>
      <c r="U837" t="inlineStr">
        <is>
          <t>2002-10-14</t>
        </is>
      </c>
      <c r="V837" t="inlineStr">
        <is>
          <t>2002-10-14</t>
        </is>
      </c>
      <c r="W837" t="inlineStr">
        <is>
          <t>2002-10-14</t>
        </is>
      </c>
      <c r="X837" t="inlineStr">
        <is>
          <t>2002-10-14</t>
        </is>
      </c>
      <c r="Y837" t="n">
        <v>203</v>
      </c>
      <c r="Z837" t="n">
        <v>162</v>
      </c>
      <c r="AA837" t="n">
        <v>1292</v>
      </c>
      <c r="AB837" t="n">
        <v>2</v>
      </c>
      <c r="AC837" t="n">
        <v>4</v>
      </c>
      <c r="AD837" t="n">
        <v>7</v>
      </c>
      <c r="AE837" t="n">
        <v>30</v>
      </c>
      <c r="AF837" t="n">
        <v>0</v>
      </c>
      <c r="AG837" t="n">
        <v>15</v>
      </c>
      <c r="AH837" t="n">
        <v>2</v>
      </c>
      <c r="AI837" t="n">
        <v>8</v>
      </c>
      <c r="AJ837" t="n">
        <v>5</v>
      </c>
      <c r="AK837" t="n">
        <v>12</v>
      </c>
      <c r="AL837" t="n">
        <v>1</v>
      </c>
      <c r="AM837" t="n">
        <v>3</v>
      </c>
      <c r="AN837" t="n">
        <v>0</v>
      </c>
      <c r="AO837" t="n">
        <v>0</v>
      </c>
      <c r="AP837" t="inlineStr">
        <is>
          <t>No</t>
        </is>
      </c>
      <c r="AQ837" t="inlineStr">
        <is>
          <t>Yes</t>
        </is>
      </c>
      <c r="AR837">
        <f>HYPERLINK("http://catalog.hathitrust.org/Record/004049018","HathiTrust Record")</f>
        <v/>
      </c>
      <c r="AS837">
        <f>HYPERLINK("https://creighton-primo.hosted.exlibrisgroup.com/primo-explore/search?tab=default_tab&amp;search_scope=EVERYTHING&amp;vid=01CRU&amp;lang=en_US&amp;offset=0&amp;query=any,contains,991003913629702656","Catalog Record")</f>
        <v/>
      </c>
      <c r="AT837">
        <f>HYPERLINK("http://www.worldcat.org/oclc/40602868","WorldCat Record")</f>
        <v/>
      </c>
      <c r="AU837" t="inlineStr">
        <is>
          <t>793846177:eng</t>
        </is>
      </c>
      <c r="AV837" t="inlineStr">
        <is>
          <t>40602868</t>
        </is>
      </c>
      <c r="AW837" t="inlineStr">
        <is>
          <t>991003913629702656</t>
        </is>
      </c>
      <c r="AX837" t="inlineStr">
        <is>
          <t>991003913629702656</t>
        </is>
      </c>
      <c r="AY837" t="inlineStr">
        <is>
          <t>2256143480002656</t>
        </is>
      </c>
      <c r="AZ837" t="inlineStr">
        <is>
          <t>BOOK</t>
        </is>
      </c>
      <c r="BB837" t="inlineStr">
        <is>
          <t>9780824818999</t>
        </is>
      </c>
      <c r="BC837" t="inlineStr">
        <is>
          <t>32285004654694</t>
        </is>
      </c>
      <c r="BD837" t="inlineStr">
        <is>
          <t>893318571</t>
        </is>
      </c>
    </row>
    <row r="838">
      <c r="A838" t="inlineStr">
        <is>
          <t>No</t>
        </is>
      </c>
      <c r="B838" t="inlineStr">
        <is>
          <t>PL833.I7 A24 1989</t>
        </is>
      </c>
      <c r="C838" t="inlineStr">
        <is>
          <t>0                      PL 0833000I  7                  A  24          1989</t>
        </is>
      </c>
      <c r="D838" t="inlineStr">
        <is>
          <t>Acts of worship : seven stories / Yukio Mishima ; translated by John Bester.</t>
        </is>
      </c>
      <c r="F838" t="inlineStr">
        <is>
          <t>No</t>
        </is>
      </c>
      <c r="G838" t="inlineStr">
        <is>
          <t>1</t>
        </is>
      </c>
      <c r="H838" t="inlineStr">
        <is>
          <t>No</t>
        </is>
      </c>
      <c r="I838" t="inlineStr">
        <is>
          <t>No</t>
        </is>
      </c>
      <c r="J838" t="inlineStr">
        <is>
          <t>0</t>
        </is>
      </c>
      <c r="K838" t="inlineStr">
        <is>
          <t>Mishima, Yukio, 1925-1970.</t>
        </is>
      </c>
      <c r="L838" t="inlineStr">
        <is>
          <t>Tokyo : New York : Kodansha International, 1989.</t>
        </is>
      </c>
      <c r="M838" t="inlineStr">
        <is>
          <t>1989</t>
        </is>
      </c>
      <c r="N838" t="inlineStr">
        <is>
          <t>1st ed.</t>
        </is>
      </c>
      <c r="O838" t="inlineStr">
        <is>
          <t>eng</t>
        </is>
      </c>
      <c r="P838" t="inlineStr">
        <is>
          <t xml:space="preserve">ja </t>
        </is>
      </c>
      <c r="R838" t="inlineStr">
        <is>
          <t xml:space="preserve">PL </t>
        </is>
      </c>
      <c r="S838" t="n">
        <v>2</v>
      </c>
      <c r="T838" t="n">
        <v>2</v>
      </c>
      <c r="U838" t="inlineStr">
        <is>
          <t>2002-04-23</t>
        </is>
      </c>
      <c r="V838" t="inlineStr">
        <is>
          <t>2002-04-23</t>
        </is>
      </c>
      <c r="W838" t="inlineStr">
        <is>
          <t>1996-04-24</t>
        </is>
      </c>
      <c r="X838" t="inlineStr">
        <is>
          <t>1996-04-24</t>
        </is>
      </c>
      <c r="Y838" t="n">
        <v>866</v>
      </c>
      <c r="Z838" t="n">
        <v>758</v>
      </c>
      <c r="AA838" t="n">
        <v>816</v>
      </c>
      <c r="AB838" t="n">
        <v>3</v>
      </c>
      <c r="AC838" t="n">
        <v>3</v>
      </c>
      <c r="AD838" t="n">
        <v>28</v>
      </c>
      <c r="AE838" t="n">
        <v>29</v>
      </c>
      <c r="AF838" t="n">
        <v>12</v>
      </c>
      <c r="AG838" t="n">
        <v>13</v>
      </c>
      <c r="AH838" t="n">
        <v>8</v>
      </c>
      <c r="AI838" t="n">
        <v>8</v>
      </c>
      <c r="AJ838" t="n">
        <v>14</v>
      </c>
      <c r="AK838" t="n">
        <v>15</v>
      </c>
      <c r="AL838" t="n">
        <v>2</v>
      </c>
      <c r="AM838" t="n">
        <v>2</v>
      </c>
      <c r="AN838" t="n">
        <v>0</v>
      </c>
      <c r="AO838" t="n">
        <v>0</v>
      </c>
      <c r="AP838" t="inlineStr">
        <is>
          <t>No</t>
        </is>
      </c>
      <c r="AQ838" t="inlineStr">
        <is>
          <t>Yes</t>
        </is>
      </c>
      <c r="AR838">
        <f>HYPERLINK("http://catalog.hathitrust.org/Record/001943802","HathiTrust Record")</f>
        <v/>
      </c>
      <c r="AS838">
        <f>HYPERLINK("https://creighton-primo.hosted.exlibrisgroup.com/primo-explore/search?tab=default_tab&amp;search_scope=EVERYTHING&amp;vid=01CRU&amp;lang=en_US&amp;offset=0&amp;query=any,contains,991001532619702656","Catalog Record")</f>
        <v/>
      </c>
      <c r="AT838">
        <f>HYPERLINK("http://www.worldcat.org/oclc/20056100","WorldCat Record")</f>
        <v/>
      </c>
      <c r="AU838" t="inlineStr">
        <is>
          <t>1059258334:eng</t>
        </is>
      </c>
      <c r="AV838" t="inlineStr">
        <is>
          <t>20056100</t>
        </is>
      </c>
      <c r="AW838" t="inlineStr">
        <is>
          <t>991001532619702656</t>
        </is>
      </c>
      <c r="AX838" t="inlineStr">
        <is>
          <t>991001532619702656</t>
        </is>
      </c>
      <c r="AY838" t="inlineStr">
        <is>
          <t>2271213120002656</t>
        </is>
      </c>
      <c r="AZ838" t="inlineStr">
        <is>
          <t>BOOK</t>
        </is>
      </c>
      <c r="BB838" t="inlineStr">
        <is>
          <t>9780870119378</t>
        </is>
      </c>
      <c r="BC838" t="inlineStr">
        <is>
          <t>32285002156684</t>
        </is>
      </c>
      <c r="BD838" t="inlineStr">
        <is>
          <t>893244195</t>
        </is>
      </c>
    </row>
    <row r="839">
      <c r="A839" t="inlineStr">
        <is>
          <t>No</t>
        </is>
      </c>
      <c r="B839" t="inlineStr">
        <is>
          <t>PL833.I7 D4</t>
        </is>
      </c>
      <c r="C839" t="inlineStr">
        <is>
          <t>0                      PL 0833000I  7                  D  4</t>
        </is>
      </c>
      <c r="D839" t="inlineStr">
        <is>
          <t>Death in midsummer, and other stories.</t>
        </is>
      </c>
      <c r="F839" t="inlineStr">
        <is>
          <t>No</t>
        </is>
      </c>
      <c r="G839" t="inlineStr">
        <is>
          <t>1</t>
        </is>
      </c>
      <c r="H839" t="inlineStr">
        <is>
          <t>No</t>
        </is>
      </c>
      <c r="I839" t="inlineStr">
        <is>
          <t>No</t>
        </is>
      </c>
      <c r="J839" t="inlineStr">
        <is>
          <t>0</t>
        </is>
      </c>
      <c r="K839" t="inlineStr">
        <is>
          <t>Mishima, Yukio, 1925-1970.</t>
        </is>
      </c>
      <c r="L839" t="inlineStr">
        <is>
          <t>[New York] New Directions [1966]</t>
        </is>
      </c>
      <c r="M839" t="inlineStr">
        <is>
          <t>1966</t>
        </is>
      </c>
      <c r="O839" t="inlineStr">
        <is>
          <t>eng</t>
        </is>
      </c>
      <c r="P839" t="inlineStr">
        <is>
          <t>nyu</t>
        </is>
      </c>
      <c r="R839" t="inlineStr">
        <is>
          <t xml:space="preserve">PL </t>
        </is>
      </c>
      <c r="S839" t="n">
        <v>4</v>
      </c>
      <c r="T839" t="n">
        <v>4</v>
      </c>
      <c r="U839" t="inlineStr">
        <is>
          <t>2003-04-22</t>
        </is>
      </c>
      <c r="V839" t="inlineStr">
        <is>
          <t>2003-04-22</t>
        </is>
      </c>
      <c r="W839" t="inlineStr">
        <is>
          <t>1997-09-16</t>
        </is>
      </c>
      <c r="X839" t="inlineStr">
        <is>
          <t>1997-09-16</t>
        </is>
      </c>
      <c r="Y839" t="n">
        <v>1191</v>
      </c>
      <c r="Z839" t="n">
        <v>1092</v>
      </c>
      <c r="AA839" t="n">
        <v>1112</v>
      </c>
      <c r="AB839" t="n">
        <v>5</v>
      </c>
      <c r="AC839" t="n">
        <v>5</v>
      </c>
      <c r="AD839" t="n">
        <v>37</v>
      </c>
      <c r="AE839" t="n">
        <v>37</v>
      </c>
      <c r="AF839" t="n">
        <v>15</v>
      </c>
      <c r="AG839" t="n">
        <v>15</v>
      </c>
      <c r="AH839" t="n">
        <v>8</v>
      </c>
      <c r="AI839" t="n">
        <v>8</v>
      </c>
      <c r="AJ839" t="n">
        <v>20</v>
      </c>
      <c r="AK839" t="n">
        <v>20</v>
      </c>
      <c r="AL839" t="n">
        <v>4</v>
      </c>
      <c r="AM839" t="n">
        <v>4</v>
      </c>
      <c r="AN839" t="n">
        <v>0</v>
      </c>
      <c r="AO839" t="n">
        <v>0</v>
      </c>
      <c r="AP839" t="inlineStr">
        <is>
          <t>No</t>
        </is>
      </c>
      <c r="AQ839" t="inlineStr">
        <is>
          <t>Yes</t>
        </is>
      </c>
      <c r="AR839">
        <f>HYPERLINK("http://catalog.hathitrust.org/Record/001184870","HathiTrust Record")</f>
        <v/>
      </c>
      <c r="AS839">
        <f>HYPERLINK("https://creighton-primo.hosted.exlibrisgroup.com/primo-explore/search?tab=default_tab&amp;search_scope=EVERYTHING&amp;vid=01CRU&amp;lang=en_US&amp;offset=0&amp;query=any,contains,991003595449702656","Catalog Record")</f>
        <v/>
      </c>
      <c r="AT839">
        <f>HYPERLINK("http://www.worldcat.org/oclc/1175612","WorldCat Record")</f>
        <v/>
      </c>
      <c r="AU839" t="inlineStr">
        <is>
          <t>470422:eng</t>
        </is>
      </c>
      <c r="AV839" t="inlineStr">
        <is>
          <t>1175612</t>
        </is>
      </c>
      <c r="AW839" t="inlineStr">
        <is>
          <t>991003595449702656</t>
        </is>
      </c>
      <c r="AX839" t="inlineStr">
        <is>
          <t>991003595449702656</t>
        </is>
      </c>
      <c r="AY839" t="inlineStr">
        <is>
          <t>2271936300002656</t>
        </is>
      </c>
      <c r="AZ839" t="inlineStr">
        <is>
          <t>BOOK</t>
        </is>
      </c>
      <c r="BC839" t="inlineStr">
        <is>
          <t>32285003224531</t>
        </is>
      </c>
      <c r="BD839" t="inlineStr">
        <is>
          <t>893692874</t>
        </is>
      </c>
    </row>
    <row r="840">
      <c r="A840" t="inlineStr">
        <is>
          <t>No</t>
        </is>
      </c>
      <c r="B840" t="inlineStr">
        <is>
          <t>PL833.I7 K513 1967</t>
        </is>
      </c>
      <c r="C840" t="inlineStr">
        <is>
          <t>0                      PL 0833000I  7                  K  513         1967</t>
        </is>
      </c>
      <c r="D840" t="inlineStr">
        <is>
          <t>Five modern nō plays / Yukio Mishima ; translated from the Japanese by Donald Keene.</t>
        </is>
      </c>
      <c r="F840" t="inlineStr">
        <is>
          <t>No</t>
        </is>
      </c>
      <c r="G840" t="inlineStr">
        <is>
          <t>1</t>
        </is>
      </c>
      <c r="H840" t="inlineStr">
        <is>
          <t>No</t>
        </is>
      </c>
      <c r="I840" t="inlineStr">
        <is>
          <t>No</t>
        </is>
      </c>
      <c r="J840" t="inlineStr">
        <is>
          <t>0</t>
        </is>
      </c>
      <c r="K840" t="inlineStr">
        <is>
          <t>Mishima, Yukio, 1925-1970.</t>
        </is>
      </c>
      <c r="L840" t="inlineStr">
        <is>
          <t>Tokyo : Charles E. Tuttle, 1967, 1980 printing.</t>
        </is>
      </c>
      <c r="M840" t="inlineStr">
        <is>
          <t>1967</t>
        </is>
      </c>
      <c r="O840" t="inlineStr">
        <is>
          <t>eng</t>
        </is>
      </c>
      <c r="P840" t="inlineStr">
        <is>
          <t xml:space="preserve">ja </t>
        </is>
      </c>
      <c r="Q840" t="inlineStr">
        <is>
          <t>Library of Japanese literature</t>
        </is>
      </c>
      <c r="R840" t="inlineStr">
        <is>
          <t xml:space="preserve">PL </t>
        </is>
      </c>
      <c r="S840" t="n">
        <v>6</v>
      </c>
      <c r="T840" t="n">
        <v>6</v>
      </c>
      <c r="U840" t="inlineStr">
        <is>
          <t>2010-03-23</t>
        </is>
      </c>
      <c r="V840" t="inlineStr">
        <is>
          <t>2010-03-23</t>
        </is>
      </c>
      <c r="W840" t="inlineStr">
        <is>
          <t>1993-05-03</t>
        </is>
      </c>
      <c r="X840" t="inlineStr">
        <is>
          <t>1993-05-03</t>
        </is>
      </c>
      <c r="Y840" t="n">
        <v>235</v>
      </c>
      <c r="Z840" t="n">
        <v>172</v>
      </c>
      <c r="AA840" t="n">
        <v>893</v>
      </c>
      <c r="AB840" t="n">
        <v>1</v>
      </c>
      <c r="AC840" t="n">
        <v>3</v>
      </c>
      <c r="AD840" t="n">
        <v>6</v>
      </c>
      <c r="AE840" t="n">
        <v>29</v>
      </c>
      <c r="AF840" t="n">
        <v>1</v>
      </c>
      <c r="AG840" t="n">
        <v>12</v>
      </c>
      <c r="AH840" t="n">
        <v>3</v>
      </c>
      <c r="AI840" t="n">
        <v>6</v>
      </c>
      <c r="AJ840" t="n">
        <v>3</v>
      </c>
      <c r="AK840" t="n">
        <v>16</v>
      </c>
      <c r="AL840" t="n">
        <v>0</v>
      </c>
      <c r="AM840" t="n">
        <v>1</v>
      </c>
      <c r="AN840" t="n">
        <v>0</v>
      </c>
      <c r="AO840" t="n">
        <v>0</v>
      </c>
      <c r="AP840" t="inlineStr">
        <is>
          <t>No</t>
        </is>
      </c>
      <c r="AQ840" t="inlineStr">
        <is>
          <t>Yes</t>
        </is>
      </c>
      <c r="AR840">
        <f>HYPERLINK("http://catalog.hathitrust.org/Record/000125253","HathiTrust Record")</f>
        <v/>
      </c>
      <c r="AS840">
        <f>HYPERLINK("https://creighton-primo.hosted.exlibrisgroup.com/primo-explore/search?tab=default_tab&amp;search_scope=EVERYTHING&amp;vid=01CRU&amp;lang=en_US&amp;offset=0&amp;query=any,contains,991003905559702656","Catalog Record")</f>
        <v/>
      </c>
      <c r="AT840">
        <f>HYPERLINK("http://www.worldcat.org/oclc/1836711","WorldCat Record")</f>
        <v/>
      </c>
      <c r="AU840" t="inlineStr">
        <is>
          <t>578891:eng</t>
        </is>
      </c>
      <c r="AV840" t="inlineStr">
        <is>
          <t>1836711</t>
        </is>
      </c>
      <c r="AW840" t="inlineStr">
        <is>
          <t>991003905559702656</t>
        </is>
      </c>
      <c r="AX840" t="inlineStr">
        <is>
          <t>991003905559702656</t>
        </is>
      </c>
      <c r="AY840" t="inlineStr">
        <is>
          <t>2257575810002656</t>
        </is>
      </c>
      <c r="AZ840" t="inlineStr">
        <is>
          <t>BOOK</t>
        </is>
      </c>
      <c r="BC840" t="inlineStr">
        <is>
          <t>32285001632883</t>
        </is>
      </c>
      <c r="BD840" t="inlineStr">
        <is>
          <t>893904616</t>
        </is>
      </c>
    </row>
    <row r="841">
      <c r="A841" t="inlineStr">
        <is>
          <t>No</t>
        </is>
      </c>
      <c r="B841" t="inlineStr">
        <is>
          <t>PL833.I7 Y8513 1995</t>
        </is>
      </c>
      <c r="C841" t="inlineStr">
        <is>
          <t>0                      PL 0833000I  7                  Y  8513        1995</t>
        </is>
      </c>
      <c r="D841" t="inlineStr">
        <is>
          <t>Patriotism / Yukio Mishima ; translated by Geoffrey W. Sargent.</t>
        </is>
      </c>
      <c r="F841" t="inlineStr">
        <is>
          <t>No</t>
        </is>
      </c>
      <c r="G841" t="inlineStr">
        <is>
          <t>1</t>
        </is>
      </c>
      <c r="H841" t="inlineStr">
        <is>
          <t>No</t>
        </is>
      </c>
      <c r="I841" t="inlineStr">
        <is>
          <t>No</t>
        </is>
      </c>
      <c r="J841" t="inlineStr">
        <is>
          <t>0</t>
        </is>
      </c>
      <c r="K841" t="inlineStr">
        <is>
          <t>Mishima, Yukio, 1925-1970.</t>
        </is>
      </c>
      <c r="L841" t="inlineStr">
        <is>
          <t>New York : New Directions Books, 1995.</t>
        </is>
      </c>
      <c r="M841" t="inlineStr">
        <is>
          <t>1995</t>
        </is>
      </c>
      <c r="O841" t="inlineStr">
        <is>
          <t>eng</t>
        </is>
      </c>
      <c r="P841" t="inlineStr">
        <is>
          <t>nyu</t>
        </is>
      </c>
      <c r="R841" t="inlineStr">
        <is>
          <t xml:space="preserve">PL </t>
        </is>
      </c>
      <c r="S841" t="n">
        <v>1</v>
      </c>
      <c r="T841" t="n">
        <v>1</v>
      </c>
      <c r="U841" t="inlineStr">
        <is>
          <t>2010-07-15</t>
        </is>
      </c>
      <c r="V841" t="inlineStr">
        <is>
          <t>2010-07-15</t>
        </is>
      </c>
      <c r="W841" t="inlineStr">
        <is>
          <t>1996-03-19</t>
        </is>
      </c>
      <c r="X841" t="inlineStr">
        <is>
          <t>1996-03-19</t>
        </is>
      </c>
      <c r="Y841" t="n">
        <v>249</v>
      </c>
      <c r="Z841" t="n">
        <v>226</v>
      </c>
      <c r="AA841" t="n">
        <v>277</v>
      </c>
      <c r="AB841" t="n">
        <v>2</v>
      </c>
      <c r="AC841" t="n">
        <v>2</v>
      </c>
      <c r="AD841" t="n">
        <v>9</v>
      </c>
      <c r="AE841" t="n">
        <v>9</v>
      </c>
      <c r="AF841" t="n">
        <v>2</v>
      </c>
      <c r="AG841" t="n">
        <v>2</v>
      </c>
      <c r="AH841" t="n">
        <v>3</v>
      </c>
      <c r="AI841" t="n">
        <v>3</v>
      </c>
      <c r="AJ841" t="n">
        <v>5</v>
      </c>
      <c r="AK841" t="n">
        <v>5</v>
      </c>
      <c r="AL841" t="n">
        <v>1</v>
      </c>
      <c r="AM841" t="n">
        <v>1</v>
      </c>
      <c r="AN841" t="n">
        <v>0</v>
      </c>
      <c r="AO841" t="n">
        <v>0</v>
      </c>
      <c r="AP841" t="inlineStr">
        <is>
          <t>No</t>
        </is>
      </c>
      <c r="AQ841" t="inlineStr">
        <is>
          <t>No</t>
        </is>
      </c>
      <c r="AS841">
        <f>HYPERLINK("https://creighton-primo.hosted.exlibrisgroup.com/primo-explore/search?tab=default_tab&amp;search_scope=EVERYTHING&amp;vid=01CRU&amp;lang=en_US&amp;offset=0&amp;query=any,contains,991002533519702656","Catalog Record")</f>
        <v/>
      </c>
      <c r="AT841">
        <f>HYPERLINK("http://www.worldcat.org/oclc/32923490","WorldCat Record")</f>
        <v/>
      </c>
      <c r="AU841" t="inlineStr">
        <is>
          <t>37654901:eng</t>
        </is>
      </c>
      <c r="AV841" t="inlineStr">
        <is>
          <t>32923490</t>
        </is>
      </c>
      <c r="AW841" t="inlineStr">
        <is>
          <t>991002533519702656</t>
        </is>
      </c>
      <c r="AX841" t="inlineStr">
        <is>
          <t>991002533519702656</t>
        </is>
      </c>
      <c r="AY841" t="inlineStr">
        <is>
          <t>2262053140002656</t>
        </is>
      </c>
      <c r="AZ841" t="inlineStr">
        <is>
          <t>BOOK</t>
        </is>
      </c>
      <c r="BC841" t="inlineStr">
        <is>
          <t>32285002144920</t>
        </is>
      </c>
      <c r="BD841" t="inlineStr">
        <is>
          <t>893898892</t>
        </is>
      </c>
    </row>
    <row r="842">
      <c r="A842" t="inlineStr">
        <is>
          <t>No</t>
        </is>
      </c>
      <c r="B842" t="inlineStr">
        <is>
          <t>PL833.I7 Z6984</t>
        </is>
      </c>
      <c r="C842" t="inlineStr">
        <is>
          <t>0                      PL 0833000I  7                  Z  6984</t>
        </is>
      </c>
      <c r="D842" t="inlineStr">
        <is>
          <t>Mishima: a biography / by John Nathan.</t>
        </is>
      </c>
      <c r="F842" t="inlineStr">
        <is>
          <t>No</t>
        </is>
      </c>
      <c r="G842" t="inlineStr">
        <is>
          <t>1</t>
        </is>
      </c>
      <c r="H842" t="inlineStr">
        <is>
          <t>No</t>
        </is>
      </c>
      <c r="I842" t="inlineStr">
        <is>
          <t>No</t>
        </is>
      </c>
      <c r="J842" t="inlineStr">
        <is>
          <t>0</t>
        </is>
      </c>
      <c r="K842" t="inlineStr">
        <is>
          <t>Nathan, John, 1940-</t>
        </is>
      </c>
      <c r="L842" t="inlineStr">
        <is>
          <t>Boston : Little, Brown, 1974.</t>
        </is>
      </c>
      <c r="M842" t="inlineStr">
        <is>
          <t>1974</t>
        </is>
      </c>
      <c r="N842" t="inlineStr">
        <is>
          <t>[1st ed.]</t>
        </is>
      </c>
      <c r="O842" t="inlineStr">
        <is>
          <t>eng</t>
        </is>
      </c>
      <c r="P842" t="inlineStr">
        <is>
          <t>mau</t>
        </is>
      </c>
      <c r="R842" t="inlineStr">
        <is>
          <t xml:space="preserve">PL </t>
        </is>
      </c>
      <c r="S842" t="n">
        <v>2</v>
      </c>
      <c r="T842" t="n">
        <v>2</v>
      </c>
      <c r="U842" t="inlineStr">
        <is>
          <t>1994-03-22</t>
        </is>
      </c>
      <c r="V842" t="inlineStr">
        <is>
          <t>1994-03-22</t>
        </is>
      </c>
      <c r="W842" t="inlineStr">
        <is>
          <t>1993-04-23</t>
        </is>
      </c>
      <c r="X842" t="inlineStr">
        <is>
          <t>1993-04-23</t>
        </is>
      </c>
      <c r="Y842" t="n">
        <v>786</v>
      </c>
      <c r="Z842" t="n">
        <v>712</v>
      </c>
      <c r="AA842" t="n">
        <v>822</v>
      </c>
      <c r="AB842" t="n">
        <v>3</v>
      </c>
      <c r="AC842" t="n">
        <v>3</v>
      </c>
      <c r="AD842" t="n">
        <v>30</v>
      </c>
      <c r="AE842" t="n">
        <v>30</v>
      </c>
      <c r="AF842" t="n">
        <v>13</v>
      </c>
      <c r="AG842" t="n">
        <v>13</v>
      </c>
      <c r="AH842" t="n">
        <v>5</v>
      </c>
      <c r="AI842" t="n">
        <v>5</v>
      </c>
      <c r="AJ842" t="n">
        <v>20</v>
      </c>
      <c r="AK842" t="n">
        <v>20</v>
      </c>
      <c r="AL842" t="n">
        <v>1</v>
      </c>
      <c r="AM842" t="n">
        <v>1</v>
      </c>
      <c r="AN842" t="n">
        <v>0</v>
      </c>
      <c r="AO842" t="n">
        <v>0</v>
      </c>
      <c r="AP842" t="inlineStr">
        <is>
          <t>No</t>
        </is>
      </c>
      <c r="AQ842" t="inlineStr">
        <is>
          <t>No</t>
        </is>
      </c>
      <c r="AS842">
        <f>HYPERLINK("https://creighton-primo.hosted.exlibrisgroup.com/primo-explore/search?tab=default_tab&amp;search_scope=EVERYTHING&amp;vid=01CRU&amp;lang=en_US&amp;offset=0&amp;query=any,contains,991003443199702656","Catalog Record")</f>
        <v/>
      </c>
      <c r="AT842">
        <f>HYPERLINK("http://www.worldcat.org/oclc/979225","WorldCat Record")</f>
        <v/>
      </c>
      <c r="AU842" t="inlineStr">
        <is>
          <t>1942183:eng</t>
        </is>
      </c>
      <c r="AV842" t="inlineStr">
        <is>
          <t>979225</t>
        </is>
      </c>
      <c r="AW842" t="inlineStr">
        <is>
          <t>991003443199702656</t>
        </is>
      </c>
      <c r="AX842" t="inlineStr">
        <is>
          <t>991003443199702656</t>
        </is>
      </c>
      <c r="AY842" t="inlineStr">
        <is>
          <t>2261814330002656</t>
        </is>
      </c>
      <c r="AZ842" t="inlineStr">
        <is>
          <t>BOOK</t>
        </is>
      </c>
      <c r="BB842" t="inlineStr">
        <is>
          <t>9780316598446</t>
        </is>
      </c>
      <c r="BC842" t="inlineStr">
        <is>
          <t>32285001623874</t>
        </is>
      </c>
      <c r="BD842" t="inlineStr">
        <is>
          <t>893499290</t>
        </is>
      </c>
    </row>
    <row r="843">
      <c r="A843" t="inlineStr">
        <is>
          <t>No</t>
        </is>
      </c>
      <c r="B843" t="inlineStr">
        <is>
          <t>PL835.O5 F813 1996</t>
        </is>
      </c>
      <c r="C843" t="inlineStr">
        <is>
          <t>0                      PL 0835000O  5                  F  813         1996</t>
        </is>
      </c>
      <c r="D843" t="inlineStr">
        <is>
          <t>Taken captive : a Japanese POW's story / Ōoka Shōhei ; translated from the Japanese and edited by Wayne P. Lammers.</t>
        </is>
      </c>
      <c r="F843" t="inlineStr">
        <is>
          <t>No</t>
        </is>
      </c>
      <c r="G843" t="inlineStr">
        <is>
          <t>1</t>
        </is>
      </c>
      <c r="H843" t="inlineStr">
        <is>
          <t>No</t>
        </is>
      </c>
      <c r="I843" t="inlineStr">
        <is>
          <t>No</t>
        </is>
      </c>
      <c r="J843" t="inlineStr">
        <is>
          <t>0</t>
        </is>
      </c>
      <c r="K843" t="inlineStr">
        <is>
          <t>Ōoka, Shōhei, 1909-1988.</t>
        </is>
      </c>
      <c r="L843" t="inlineStr">
        <is>
          <t>New York : J. Wiley &amp; Sons, c1996.</t>
        </is>
      </c>
      <c r="M843" t="inlineStr">
        <is>
          <t>1996</t>
        </is>
      </c>
      <c r="O843" t="inlineStr">
        <is>
          <t>eng</t>
        </is>
      </c>
      <c r="P843" t="inlineStr">
        <is>
          <t>nyu</t>
        </is>
      </c>
      <c r="R843" t="inlineStr">
        <is>
          <t xml:space="preserve">PL </t>
        </is>
      </c>
      <c r="S843" t="n">
        <v>2</v>
      </c>
      <c r="T843" t="n">
        <v>2</v>
      </c>
      <c r="U843" t="inlineStr">
        <is>
          <t>2010-03-15</t>
        </is>
      </c>
      <c r="V843" t="inlineStr">
        <is>
          <t>2010-03-15</t>
        </is>
      </c>
      <c r="W843" t="inlineStr">
        <is>
          <t>2002-11-19</t>
        </is>
      </c>
      <c r="X843" t="inlineStr">
        <is>
          <t>2002-11-19</t>
        </is>
      </c>
      <c r="Y843" t="n">
        <v>575</v>
      </c>
      <c r="Z843" t="n">
        <v>483</v>
      </c>
      <c r="AA843" t="n">
        <v>490</v>
      </c>
      <c r="AB843" t="n">
        <v>8</v>
      </c>
      <c r="AC843" t="n">
        <v>8</v>
      </c>
      <c r="AD843" t="n">
        <v>15</v>
      </c>
      <c r="AE843" t="n">
        <v>15</v>
      </c>
      <c r="AF843" t="n">
        <v>3</v>
      </c>
      <c r="AG843" t="n">
        <v>3</v>
      </c>
      <c r="AH843" t="n">
        <v>4</v>
      </c>
      <c r="AI843" t="n">
        <v>4</v>
      </c>
      <c r="AJ843" t="n">
        <v>7</v>
      </c>
      <c r="AK843" t="n">
        <v>7</v>
      </c>
      <c r="AL843" t="n">
        <v>4</v>
      </c>
      <c r="AM843" t="n">
        <v>4</v>
      </c>
      <c r="AN843" t="n">
        <v>0</v>
      </c>
      <c r="AO843" t="n">
        <v>0</v>
      </c>
      <c r="AP843" t="inlineStr">
        <is>
          <t>No</t>
        </is>
      </c>
      <c r="AQ843" t="inlineStr">
        <is>
          <t>Yes</t>
        </is>
      </c>
      <c r="AR843">
        <f>HYPERLINK("http://catalog.hathitrust.org/Record/003077598","HathiTrust Record")</f>
        <v/>
      </c>
      <c r="AS843">
        <f>HYPERLINK("https://creighton-primo.hosted.exlibrisgroup.com/primo-explore/search?tab=default_tab&amp;search_scope=EVERYTHING&amp;vid=01CRU&amp;lang=en_US&amp;offset=0&amp;query=any,contains,991003946619702656","Catalog Record")</f>
        <v/>
      </c>
      <c r="AT843">
        <f>HYPERLINK("http://www.worldcat.org/oclc/33042721","WorldCat Record")</f>
        <v/>
      </c>
      <c r="AU843" t="inlineStr">
        <is>
          <t>102200798:eng</t>
        </is>
      </c>
      <c r="AV843" t="inlineStr">
        <is>
          <t>33042721</t>
        </is>
      </c>
      <c r="AW843" t="inlineStr">
        <is>
          <t>991003946619702656</t>
        </is>
      </c>
      <c r="AX843" t="inlineStr">
        <is>
          <t>991003946619702656</t>
        </is>
      </c>
      <c r="AY843" t="inlineStr">
        <is>
          <t>2272474870002656</t>
        </is>
      </c>
      <c r="AZ843" t="inlineStr">
        <is>
          <t>BOOK</t>
        </is>
      </c>
      <c r="BB843" t="inlineStr">
        <is>
          <t>9780471142850</t>
        </is>
      </c>
      <c r="BC843" t="inlineStr">
        <is>
          <t>32285004664875</t>
        </is>
      </c>
      <c r="BD843" t="inlineStr">
        <is>
          <t>893869106</t>
        </is>
      </c>
    </row>
    <row r="844">
      <c r="A844" t="inlineStr">
        <is>
          <t>No</t>
        </is>
      </c>
      <c r="B844" t="inlineStr">
        <is>
          <t>PL8351 .M2</t>
        </is>
      </c>
      <c r="C844" t="inlineStr">
        <is>
          <t>0                      PL 8351000M  2</t>
        </is>
      </c>
      <c r="D844" t="inlineStr">
        <is>
          <t>Akamba stories; [translated and edited by] the Reverend John S. Mbiti.</t>
        </is>
      </c>
      <c r="F844" t="inlineStr">
        <is>
          <t>No</t>
        </is>
      </c>
      <c r="G844" t="inlineStr">
        <is>
          <t>1</t>
        </is>
      </c>
      <c r="H844" t="inlineStr">
        <is>
          <t>No</t>
        </is>
      </c>
      <c r="I844" t="inlineStr">
        <is>
          <t>No</t>
        </is>
      </c>
      <c r="J844" t="inlineStr">
        <is>
          <t>0</t>
        </is>
      </c>
      <c r="K844" t="inlineStr">
        <is>
          <t>Mbiti, John S. editor, translator.</t>
        </is>
      </c>
      <c r="L844" t="inlineStr">
        <is>
          <t>Oxford, Clarendon P., 1966.</t>
        </is>
      </c>
      <c r="M844" t="inlineStr">
        <is>
          <t>1966</t>
        </is>
      </c>
      <c r="O844" t="inlineStr">
        <is>
          <t>eng</t>
        </is>
      </c>
      <c r="P844" t="inlineStr">
        <is>
          <t>enk</t>
        </is>
      </c>
      <c r="Q844" t="inlineStr">
        <is>
          <t>Oxford library of African literature</t>
        </is>
      </c>
      <c r="R844" t="inlineStr">
        <is>
          <t xml:space="preserve">PL </t>
        </is>
      </c>
      <c r="S844" t="n">
        <v>3</v>
      </c>
      <c r="T844" t="n">
        <v>3</v>
      </c>
      <c r="U844" t="inlineStr">
        <is>
          <t>2007-01-25</t>
        </is>
      </c>
      <c r="V844" t="inlineStr">
        <is>
          <t>2007-01-25</t>
        </is>
      </c>
      <c r="W844" t="inlineStr">
        <is>
          <t>1997-09-17</t>
        </is>
      </c>
      <c r="X844" t="inlineStr">
        <is>
          <t>1997-09-17</t>
        </is>
      </c>
      <c r="Y844" t="n">
        <v>406</v>
      </c>
      <c r="Z844" t="n">
        <v>316</v>
      </c>
      <c r="AA844" t="n">
        <v>323</v>
      </c>
      <c r="AB844" t="n">
        <v>3</v>
      </c>
      <c r="AC844" t="n">
        <v>3</v>
      </c>
      <c r="AD844" t="n">
        <v>5</v>
      </c>
      <c r="AE844" t="n">
        <v>5</v>
      </c>
      <c r="AF844" t="n">
        <v>1</v>
      </c>
      <c r="AG844" t="n">
        <v>1</v>
      </c>
      <c r="AH844" t="n">
        <v>1</v>
      </c>
      <c r="AI844" t="n">
        <v>1</v>
      </c>
      <c r="AJ844" t="n">
        <v>1</v>
      </c>
      <c r="AK844" t="n">
        <v>1</v>
      </c>
      <c r="AL844" t="n">
        <v>2</v>
      </c>
      <c r="AM844" t="n">
        <v>2</v>
      </c>
      <c r="AN844" t="n">
        <v>0</v>
      </c>
      <c r="AO844" t="n">
        <v>0</v>
      </c>
      <c r="AP844" t="inlineStr">
        <is>
          <t>No</t>
        </is>
      </c>
      <c r="AQ844" t="inlineStr">
        <is>
          <t>Yes</t>
        </is>
      </c>
      <c r="AR844">
        <f>HYPERLINK("http://catalog.hathitrust.org/Record/001009776","HathiTrust Record")</f>
        <v/>
      </c>
      <c r="AS844">
        <f>HYPERLINK("https://creighton-primo.hosted.exlibrisgroup.com/primo-explore/search?tab=default_tab&amp;search_scope=EVERYTHING&amp;vid=01CRU&amp;lang=en_US&amp;offset=0&amp;query=any,contains,991002081519702656","Catalog Record")</f>
        <v/>
      </c>
      <c r="AT844">
        <f>HYPERLINK("http://www.worldcat.org/oclc/264746","WorldCat Record")</f>
        <v/>
      </c>
      <c r="AU844" t="inlineStr">
        <is>
          <t>1380649:eng</t>
        </is>
      </c>
      <c r="AV844" t="inlineStr">
        <is>
          <t>264746</t>
        </is>
      </c>
      <c r="AW844" t="inlineStr">
        <is>
          <t>991002081519702656</t>
        </is>
      </c>
      <c r="AX844" t="inlineStr">
        <is>
          <t>991002081519702656</t>
        </is>
      </c>
      <c r="AY844" t="inlineStr">
        <is>
          <t>2268017660002656</t>
        </is>
      </c>
      <c r="AZ844" t="inlineStr">
        <is>
          <t>BOOK</t>
        </is>
      </c>
      <c r="BC844" t="inlineStr">
        <is>
          <t>32285003235651</t>
        </is>
      </c>
      <c r="BD844" t="inlineStr">
        <is>
          <t>893497699</t>
        </is>
      </c>
    </row>
    <row r="845">
      <c r="A845" t="inlineStr">
        <is>
          <t>No</t>
        </is>
      </c>
      <c r="B845" t="inlineStr">
        <is>
          <t>PL839.A7 F83 1991</t>
        </is>
      </c>
      <c r="C845" t="inlineStr">
        <is>
          <t>0                      PL 0839000A  7                  F  83          1991</t>
        </is>
      </c>
      <c r="D845" t="inlineStr">
        <is>
          <t>Diary of a mad old man / Junichiro Tanizaki ; translated from the Japanese by Howard Hibbett.</t>
        </is>
      </c>
      <c r="F845" t="inlineStr">
        <is>
          <t>No</t>
        </is>
      </c>
      <c r="G845" t="inlineStr">
        <is>
          <t>1</t>
        </is>
      </c>
      <c r="H845" t="inlineStr">
        <is>
          <t>No</t>
        </is>
      </c>
      <c r="I845" t="inlineStr">
        <is>
          <t>No</t>
        </is>
      </c>
      <c r="J845" t="inlineStr">
        <is>
          <t>0</t>
        </is>
      </c>
      <c r="K845" t="inlineStr">
        <is>
          <t>Tanizaki, Jun'ichirō, 1886-1965.</t>
        </is>
      </c>
      <c r="L845" t="inlineStr">
        <is>
          <t>New York : Vintage Books, 1991.</t>
        </is>
      </c>
      <c r="M845" t="inlineStr">
        <is>
          <t>1991</t>
        </is>
      </c>
      <c r="N845" t="inlineStr">
        <is>
          <t>1st Vintage International ed.</t>
        </is>
      </c>
      <c r="O845" t="inlineStr">
        <is>
          <t>eng</t>
        </is>
      </c>
      <c r="P845" t="inlineStr">
        <is>
          <t>nyu</t>
        </is>
      </c>
      <c r="Q845" t="inlineStr">
        <is>
          <t>Vintage international</t>
        </is>
      </c>
      <c r="R845" t="inlineStr">
        <is>
          <t xml:space="preserve">PL </t>
        </is>
      </c>
      <c r="S845" t="n">
        <v>1</v>
      </c>
      <c r="T845" t="n">
        <v>1</v>
      </c>
      <c r="U845" t="inlineStr">
        <is>
          <t>1997-09-15</t>
        </is>
      </c>
      <c r="V845" t="inlineStr">
        <is>
          <t>1997-09-15</t>
        </is>
      </c>
      <c r="W845" t="inlineStr">
        <is>
          <t>1997-08-28</t>
        </is>
      </c>
      <c r="X845" t="inlineStr">
        <is>
          <t>1997-08-28</t>
        </is>
      </c>
      <c r="Y845" t="n">
        <v>114</v>
      </c>
      <c r="Z845" t="n">
        <v>100</v>
      </c>
      <c r="AA845" t="n">
        <v>653</v>
      </c>
      <c r="AB845" t="n">
        <v>1</v>
      </c>
      <c r="AC845" t="n">
        <v>6</v>
      </c>
      <c r="AD845" t="n">
        <v>3</v>
      </c>
      <c r="AE845" t="n">
        <v>24</v>
      </c>
      <c r="AF845" t="n">
        <v>1</v>
      </c>
      <c r="AG845" t="n">
        <v>6</v>
      </c>
      <c r="AH845" t="n">
        <v>0</v>
      </c>
      <c r="AI845" t="n">
        <v>7</v>
      </c>
      <c r="AJ845" t="n">
        <v>3</v>
      </c>
      <c r="AK845" t="n">
        <v>12</v>
      </c>
      <c r="AL845" t="n">
        <v>0</v>
      </c>
      <c r="AM845" t="n">
        <v>5</v>
      </c>
      <c r="AN845" t="n">
        <v>0</v>
      </c>
      <c r="AO845" t="n">
        <v>0</v>
      </c>
      <c r="AP845" t="inlineStr">
        <is>
          <t>No</t>
        </is>
      </c>
      <c r="AQ845" t="inlineStr">
        <is>
          <t>No</t>
        </is>
      </c>
      <c r="AS845">
        <f>HYPERLINK("https://creighton-primo.hosted.exlibrisgroup.com/primo-explore/search?tab=default_tab&amp;search_scope=EVERYTHING&amp;vid=01CRU&amp;lang=en_US&amp;offset=0&amp;query=any,contains,991001827799702656","Catalog Record")</f>
        <v/>
      </c>
      <c r="AT845">
        <f>HYPERLINK("http://www.worldcat.org/oclc/22956691","WorldCat Record")</f>
        <v/>
      </c>
      <c r="AU845" t="inlineStr">
        <is>
          <t>1042130:eng</t>
        </is>
      </c>
      <c r="AV845" t="inlineStr">
        <is>
          <t>22956691</t>
        </is>
      </c>
      <c r="AW845" t="inlineStr">
        <is>
          <t>991001827799702656</t>
        </is>
      </c>
      <c r="AX845" t="inlineStr">
        <is>
          <t>991001827799702656</t>
        </is>
      </c>
      <c r="AY845" t="inlineStr">
        <is>
          <t>2260453470002656</t>
        </is>
      </c>
      <c r="AZ845" t="inlineStr">
        <is>
          <t>BOOK</t>
        </is>
      </c>
      <c r="BB845" t="inlineStr">
        <is>
          <t>9780679730248</t>
        </is>
      </c>
      <c r="BC845" t="inlineStr">
        <is>
          <t>32285003002648</t>
        </is>
      </c>
      <c r="BD845" t="inlineStr">
        <is>
          <t>893626842</t>
        </is>
      </c>
    </row>
    <row r="846">
      <c r="A846" t="inlineStr">
        <is>
          <t>No</t>
        </is>
      </c>
      <c r="B846" t="inlineStr">
        <is>
          <t>PL839.A7 K313 1991</t>
        </is>
      </c>
      <c r="C846" t="inlineStr">
        <is>
          <t>0                      PL 0839000A  7                  K  313         1991</t>
        </is>
      </c>
      <c r="D846" t="inlineStr">
        <is>
          <t>The key / Junichiro Tanizaki ; translated from the Japanese by Howard Hibbett.</t>
        </is>
      </c>
      <c r="F846" t="inlineStr">
        <is>
          <t>No</t>
        </is>
      </c>
      <c r="G846" t="inlineStr">
        <is>
          <t>1</t>
        </is>
      </c>
      <c r="H846" t="inlineStr">
        <is>
          <t>No</t>
        </is>
      </c>
      <c r="I846" t="inlineStr">
        <is>
          <t>No</t>
        </is>
      </c>
      <c r="J846" t="inlineStr">
        <is>
          <t>0</t>
        </is>
      </c>
      <c r="K846" t="inlineStr">
        <is>
          <t>Tanizaki, Jun'ichirō, 1886-1965.</t>
        </is>
      </c>
      <c r="L846" t="inlineStr">
        <is>
          <t>New York : Vintage Books, 1991.</t>
        </is>
      </c>
      <c r="M846" t="inlineStr">
        <is>
          <t>1991</t>
        </is>
      </c>
      <c r="N846" t="inlineStr">
        <is>
          <t>1st Vintage international ed.</t>
        </is>
      </c>
      <c r="O846" t="inlineStr">
        <is>
          <t>eng</t>
        </is>
      </c>
      <c r="P846" t="inlineStr">
        <is>
          <t>nyu</t>
        </is>
      </c>
      <c r="Q846" t="inlineStr">
        <is>
          <t>Vintage international</t>
        </is>
      </c>
      <c r="R846" t="inlineStr">
        <is>
          <t xml:space="preserve">PL </t>
        </is>
      </c>
      <c r="S846" t="n">
        <v>2</v>
      </c>
      <c r="T846" t="n">
        <v>2</v>
      </c>
      <c r="U846" t="inlineStr">
        <is>
          <t>1998-12-07</t>
        </is>
      </c>
      <c r="V846" t="inlineStr">
        <is>
          <t>1998-12-07</t>
        </is>
      </c>
      <c r="W846" t="inlineStr">
        <is>
          <t>1997-09-10</t>
        </is>
      </c>
      <c r="X846" t="inlineStr">
        <is>
          <t>1997-09-10</t>
        </is>
      </c>
      <c r="Y846" t="n">
        <v>124</v>
      </c>
      <c r="Z846" t="n">
        <v>107</v>
      </c>
      <c r="AA846" t="n">
        <v>769</v>
      </c>
      <c r="AB846" t="n">
        <v>2</v>
      </c>
      <c r="AC846" t="n">
        <v>6</v>
      </c>
      <c r="AD846" t="n">
        <v>4</v>
      </c>
      <c r="AE846" t="n">
        <v>31</v>
      </c>
      <c r="AF846" t="n">
        <v>0</v>
      </c>
      <c r="AG846" t="n">
        <v>10</v>
      </c>
      <c r="AH846" t="n">
        <v>0</v>
      </c>
      <c r="AI846" t="n">
        <v>9</v>
      </c>
      <c r="AJ846" t="n">
        <v>3</v>
      </c>
      <c r="AK846" t="n">
        <v>16</v>
      </c>
      <c r="AL846" t="n">
        <v>1</v>
      </c>
      <c r="AM846" t="n">
        <v>5</v>
      </c>
      <c r="AN846" t="n">
        <v>0</v>
      </c>
      <c r="AO846" t="n">
        <v>0</v>
      </c>
      <c r="AP846" t="inlineStr">
        <is>
          <t>No</t>
        </is>
      </c>
      <c r="AQ846" t="inlineStr">
        <is>
          <t>Yes</t>
        </is>
      </c>
      <c r="AR846">
        <f>HYPERLINK("http://catalog.hathitrust.org/Record/007054963","HathiTrust Record")</f>
        <v/>
      </c>
      <c r="AS846">
        <f>HYPERLINK("https://creighton-primo.hosted.exlibrisgroup.com/primo-explore/search?tab=default_tab&amp;search_scope=EVERYTHING&amp;vid=01CRU&amp;lang=en_US&amp;offset=0&amp;query=any,contains,991001827829702656","Catalog Record")</f>
        <v/>
      </c>
      <c r="AT846">
        <f>HYPERLINK("http://www.worldcat.org/oclc/22956696","WorldCat Record")</f>
        <v/>
      </c>
      <c r="AU846" t="inlineStr">
        <is>
          <t>3856616504:eng</t>
        </is>
      </c>
      <c r="AV846" t="inlineStr">
        <is>
          <t>22956696</t>
        </is>
      </c>
      <c r="AW846" t="inlineStr">
        <is>
          <t>991001827829702656</t>
        </is>
      </c>
      <c r="AX846" t="inlineStr">
        <is>
          <t>991001827829702656</t>
        </is>
      </c>
      <c r="AY846" t="inlineStr">
        <is>
          <t>2260454290002656</t>
        </is>
      </c>
      <c r="AZ846" t="inlineStr">
        <is>
          <t>BOOK</t>
        </is>
      </c>
      <c r="BB846" t="inlineStr">
        <is>
          <t>9780679730231</t>
        </is>
      </c>
      <c r="BC846" t="inlineStr">
        <is>
          <t>32285003004750</t>
        </is>
      </c>
      <c r="BD846" t="inlineStr">
        <is>
          <t>893497473</t>
        </is>
      </c>
    </row>
    <row r="847">
      <c r="A847" t="inlineStr">
        <is>
          <t>No</t>
        </is>
      </c>
      <c r="B847" t="inlineStr">
        <is>
          <t>PL839.A7 S3713 1993</t>
        </is>
      </c>
      <c r="C847" t="inlineStr">
        <is>
          <t>0                      PL 0839000A  7                  S  3713        1993</t>
        </is>
      </c>
      <c r="D847" t="inlineStr">
        <is>
          <t>The Makioka sisters / Junichirō Tanazaki ; translated and introduced by Edward G. Seidensticker.</t>
        </is>
      </c>
      <c r="F847" t="inlineStr">
        <is>
          <t>No</t>
        </is>
      </c>
      <c r="G847" t="inlineStr">
        <is>
          <t>1</t>
        </is>
      </c>
      <c r="H847" t="inlineStr">
        <is>
          <t>No</t>
        </is>
      </c>
      <c r="I847" t="inlineStr">
        <is>
          <t>No</t>
        </is>
      </c>
      <c r="J847" t="inlineStr">
        <is>
          <t>0</t>
        </is>
      </c>
      <c r="K847" t="inlineStr">
        <is>
          <t>Tanizaki, Jun'ichirō, 1886-1965.</t>
        </is>
      </c>
      <c r="L847" t="inlineStr">
        <is>
          <t>New York : Knopf : Distributed by Random House, 1993.</t>
        </is>
      </c>
      <c r="M847" t="inlineStr">
        <is>
          <t>1993</t>
        </is>
      </c>
      <c r="O847" t="inlineStr">
        <is>
          <t>eng</t>
        </is>
      </c>
      <c r="P847" t="inlineStr">
        <is>
          <t>nyu</t>
        </is>
      </c>
      <c r="Q847" t="inlineStr">
        <is>
          <t>Everyman's library ; 155</t>
        </is>
      </c>
      <c r="R847" t="inlineStr">
        <is>
          <t xml:space="preserve">PL </t>
        </is>
      </c>
      <c r="S847" t="n">
        <v>2</v>
      </c>
      <c r="T847" t="n">
        <v>2</v>
      </c>
      <c r="U847" t="inlineStr">
        <is>
          <t>2010-05-28</t>
        </is>
      </c>
      <c r="V847" t="inlineStr">
        <is>
          <t>2010-05-28</t>
        </is>
      </c>
      <c r="W847" t="inlineStr">
        <is>
          <t>1997-08-28</t>
        </is>
      </c>
      <c r="X847" t="inlineStr">
        <is>
          <t>1997-08-28</t>
        </is>
      </c>
      <c r="Y847" t="n">
        <v>231</v>
      </c>
      <c r="Z847" t="n">
        <v>218</v>
      </c>
      <c r="AA847" t="n">
        <v>1395</v>
      </c>
      <c r="AB847" t="n">
        <v>1</v>
      </c>
      <c r="AC847" t="n">
        <v>8</v>
      </c>
      <c r="AD847" t="n">
        <v>2</v>
      </c>
      <c r="AE847" t="n">
        <v>48</v>
      </c>
      <c r="AF847" t="n">
        <v>0</v>
      </c>
      <c r="AG847" t="n">
        <v>21</v>
      </c>
      <c r="AH847" t="n">
        <v>2</v>
      </c>
      <c r="AI847" t="n">
        <v>10</v>
      </c>
      <c r="AJ847" t="n">
        <v>2</v>
      </c>
      <c r="AK847" t="n">
        <v>23</v>
      </c>
      <c r="AL847" t="n">
        <v>0</v>
      </c>
      <c r="AM847" t="n">
        <v>7</v>
      </c>
      <c r="AN847" t="n">
        <v>0</v>
      </c>
      <c r="AO847" t="n">
        <v>0</v>
      </c>
      <c r="AP847" t="inlineStr">
        <is>
          <t>No</t>
        </is>
      </c>
      <c r="AQ847" t="inlineStr">
        <is>
          <t>No</t>
        </is>
      </c>
      <c r="AS847">
        <f>HYPERLINK("https://creighton-primo.hosted.exlibrisgroup.com/primo-explore/search?tab=default_tab&amp;search_scope=EVERYTHING&amp;vid=01CRU&amp;lang=en_US&amp;offset=0&amp;query=any,contains,991002133299702656","Catalog Record")</f>
        <v/>
      </c>
      <c r="AT847">
        <f>HYPERLINK("http://www.worldcat.org/oclc/27340143","WorldCat Record")</f>
        <v/>
      </c>
      <c r="AU847" t="inlineStr">
        <is>
          <t>346764:eng</t>
        </is>
      </c>
      <c r="AV847" t="inlineStr">
        <is>
          <t>27340143</t>
        </is>
      </c>
      <c r="AW847" t="inlineStr">
        <is>
          <t>991002133299702656</t>
        </is>
      </c>
      <c r="AX847" t="inlineStr">
        <is>
          <t>991002133299702656</t>
        </is>
      </c>
      <c r="AY847" t="inlineStr">
        <is>
          <t>2268681030002656</t>
        </is>
      </c>
      <c r="AZ847" t="inlineStr">
        <is>
          <t>BOOK</t>
        </is>
      </c>
      <c r="BB847" t="inlineStr">
        <is>
          <t>9780679424529</t>
        </is>
      </c>
      <c r="BC847" t="inlineStr">
        <is>
          <t>32285003002598</t>
        </is>
      </c>
      <c r="BD847" t="inlineStr">
        <is>
          <t>893903711</t>
        </is>
      </c>
    </row>
    <row r="848">
      <c r="A848" t="inlineStr">
        <is>
          <t>No</t>
        </is>
      </c>
      <c r="B848" t="inlineStr">
        <is>
          <t>PL839.A7 Z47813 1988</t>
        </is>
      </c>
      <c r="C848" t="inlineStr">
        <is>
          <t>0                      PL 0839000A  7                  Z  47813       1988</t>
        </is>
      </c>
      <c r="D848" t="inlineStr">
        <is>
          <t>Childhood years : a memoir / Junʼichirō Tanizaki ; translated by Paul McCarthy.</t>
        </is>
      </c>
      <c r="F848" t="inlineStr">
        <is>
          <t>No</t>
        </is>
      </c>
      <c r="G848" t="inlineStr">
        <is>
          <t>1</t>
        </is>
      </c>
      <c r="H848" t="inlineStr">
        <is>
          <t>No</t>
        </is>
      </c>
      <c r="I848" t="inlineStr">
        <is>
          <t>No</t>
        </is>
      </c>
      <c r="J848" t="inlineStr">
        <is>
          <t>0</t>
        </is>
      </c>
      <c r="K848" t="inlineStr">
        <is>
          <t>Tanizaki, Jun'ichirō, 1886-1965.</t>
        </is>
      </c>
      <c r="L848" t="inlineStr">
        <is>
          <t>Tokyo ; New York : Kodansha International, 1988.</t>
        </is>
      </c>
      <c r="M848" t="inlineStr">
        <is>
          <t>1988</t>
        </is>
      </c>
      <c r="N848" t="inlineStr">
        <is>
          <t>1st ed.</t>
        </is>
      </c>
      <c r="O848" t="inlineStr">
        <is>
          <t>eng</t>
        </is>
      </c>
      <c r="P848" t="inlineStr">
        <is>
          <t xml:space="preserve">ja </t>
        </is>
      </c>
      <c r="R848" t="inlineStr">
        <is>
          <t xml:space="preserve">PL </t>
        </is>
      </c>
      <c r="S848" t="n">
        <v>2</v>
      </c>
      <c r="T848" t="n">
        <v>2</v>
      </c>
      <c r="U848" t="inlineStr">
        <is>
          <t>2005-09-14</t>
        </is>
      </c>
      <c r="V848" t="inlineStr">
        <is>
          <t>2005-09-14</t>
        </is>
      </c>
      <c r="W848" t="inlineStr">
        <is>
          <t>1997-08-28</t>
        </is>
      </c>
      <c r="X848" t="inlineStr">
        <is>
          <t>1997-08-28</t>
        </is>
      </c>
      <c r="Y848" t="n">
        <v>334</v>
      </c>
      <c r="Z848" t="n">
        <v>273</v>
      </c>
      <c r="AA848" t="n">
        <v>580</v>
      </c>
      <c r="AB848" t="n">
        <v>1</v>
      </c>
      <c r="AC848" t="n">
        <v>5</v>
      </c>
      <c r="AD848" t="n">
        <v>11</v>
      </c>
      <c r="AE848" t="n">
        <v>28</v>
      </c>
      <c r="AF848" t="n">
        <v>3</v>
      </c>
      <c r="AG848" t="n">
        <v>12</v>
      </c>
      <c r="AH848" t="n">
        <v>5</v>
      </c>
      <c r="AI848" t="n">
        <v>9</v>
      </c>
      <c r="AJ848" t="n">
        <v>6</v>
      </c>
      <c r="AK848" t="n">
        <v>11</v>
      </c>
      <c r="AL848" t="n">
        <v>0</v>
      </c>
      <c r="AM848" t="n">
        <v>4</v>
      </c>
      <c r="AN848" t="n">
        <v>0</v>
      </c>
      <c r="AO848" t="n">
        <v>0</v>
      </c>
      <c r="AP848" t="inlineStr">
        <is>
          <t>No</t>
        </is>
      </c>
      <c r="AQ848" t="inlineStr">
        <is>
          <t>Yes</t>
        </is>
      </c>
      <c r="AR848">
        <f>HYPERLINK("http://catalog.hathitrust.org/Record/002060312","HathiTrust Record")</f>
        <v/>
      </c>
      <c r="AS848">
        <f>HYPERLINK("https://creighton-primo.hosted.exlibrisgroup.com/primo-explore/search?tab=default_tab&amp;search_scope=EVERYTHING&amp;vid=01CRU&amp;lang=en_US&amp;offset=0&amp;query=any,contains,991001319469702656","Catalog Record")</f>
        <v/>
      </c>
      <c r="AT848">
        <f>HYPERLINK("http://www.worldcat.org/oclc/18215278","WorldCat Record")</f>
        <v/>
      </c>
      <c r="AU848" t="inlineStr">
        <is>
          <t>631659:eng</t>
        </is>
      </c>
      <c r="AV848" t="inlineStr">
        <is>
          <t>18215278</t>
        </is>
      </c>
      <c r="AW848" t="inlineStr">
        <is>
          <t>991001319469702656</t>
        </is>
      </c>
      <c r="AX848" t="inlineStr">
        <is>
          <t>991001319469702656</t>
        </is>
      </c>
      <c r="AY848" t="inlineStr">
        <is>
          <t>2264722960002656</t>
        </is>
      </c>
      <c r="AZ848" t="inlineStr">
        <is>
          <t>BOOK</t>
        </is>
      </c>
      <c r="BB848" t="inlineStr">
        <is>
          <t>9780870118630</t>
        </is>
      </c>
      <c r="BC848" t="inlineStr">
        <is>
          <t>32285003002655</t>
        </is>
      </c>
      <c r="BD848" t="inlineStr">
        <is>
          <t>893528878</t>
        </is>
      </c>
    </row>
    <row r="849">
      <c r="A849" t="inlineStr">
        <is>
          <t>No</t>
        </is>
      </c>
      <c r="B849" t="inlineStr">
        <is>
          <t>PL839.A7 Z58 1994</t>
        </is>
      </c>
      <c r="C849" t="inlineStr">
        <is>
          <t>0                      PL 0839000A  7                  Z  58          1994</t>
        </is>
      </c>
      <c r="D849" t="inlineStr">
        <is>
          <t>The secret window : ideal worlds in Tanizaki's fiction / Anthony Hood Chambers.</t>
        </is>
      </c>
      <c r="F849" t="inlineStr">
        <is>
          <t>No</t>
        </is>
      </c>
      <c r="G849" t="inlineStr">
        <is>
          <t>1</t>
        </is>
      </c>
      <c r="H849" t="inlineStr">
        <is>
          <t>No</t>
        </is>
      </c>
      <c r="I849" t="inlineStr">
        <is>
          <t>No</t>
        </is>
      </c>
      <c r="J849" t="inlineStr">
        <is>
          <t>0</t>
        </is>
      </c>
      <c r="K849" t="inlineStr">
        <is>
          <t>Chambers, Anthony H. (Anthony Hood)</t>
        </is>
      </c>
      <c r="L849" t="inlineStr">
        <is>
          <t>Cambridge, Mass. : Council on East Asian Studies, Harvard University : distributed by Harvard University Press, 1994.</t>
        </is>
      </c>
      <c r="M849" t="inlineStr">
        <is>
          <t>1994</t>
        </is>
      </c>
      <c r="O849" t="inlineStr">
        <is>
          <t>eng</t>
        </is>
      </c>
      <c r="P849" t="inlineStr">
        <is>
          <t>mau</t>
        </is>
      </c>
      <c r="Q849" t="inlineStr">
        <is>
          <t>Harvard East Asian monographs ; 167</t>
        </is>
      </c>
      <c r="R849" t="inlineStr">
        <is>
          <t xml:space="preserve">PL </t>
        </is>
      </c>
      <c r="S849" t="n">
        <v>1</v>
      </c>
      <c r="T849" t="n">
        <v>1</v>
      </c>
      <c r="U849" t="inlineStr">
        <is>
          <t>2005-04-22</t>
        </is>
      </c>
      <c r="V849" t="inlineStr">
        <is>
          <t>2005-04-22</t>
        </is>
      </c>
      <c r="W849" t="inlineStr">
        <is>
          <t>1996-05-06</t>
        </is>
      </c>
      <c r="X849" t="inlineStr">
        <is>
          <t>1996-05-06</t>
        </is>
      </c>
      <c r="Y849" t="n">
        <v>296</v>
      </c>
      <c r="Z849" t="n">
        <v>230</v>
      </c>
      <c r="AA849" t="n">
        <v>272</v>
      </c>
      <c r="AB849" t="n">
        <v>2</v>
      </c>
      <c r="AC849" t="n">
        <v>2</v>
      </c>
      <c r="AD849" t="n">
        <v>10</v>
      </c>
      <c r="AE849" t="n">
        <v>16</v>
      </c>
      <c r="AF849" t="n">
        <v>2</v>
      </c>
      <c r="AG849" t="n">
        <v>7</v>
      </c>
      <c r="AH849" t="n">
        <v>4</v>
      </c>
      <c r="AI849" t="n">
        <v>5</v>
      </c>
      <c r="AJ849" t="n">
        <v>5</v>
      </c>
      <c r="AK849" t="n">
        <v>6</v>
      </c>
      <c r="AL849" t="n">
        <v>1</v>
      </c>
      <c r="AM849" t="n">
        <v>1</v>
      </c>
      <c r="AN849" t="n">
        <v>0</v>
      </c>
      <c r="AO849" t="n">
        <v>0</v>
      </c>
      <c r="AP849" t="inlineStr">
        <is>
          <t>No</t>
        </is>
      </c>
      <c r="AQ849" t="inlineStr">
        <is>
          <t>Yes</t>
        </is>
      </c>
      <c r="AR849">
        <f>HYPERLINK("http://catalog.hathitrust.org/Record/002966254","HathiTrust Record")</f>
        <v/>
      </c>
      <c r="AS849">
        <f>HYPERLINK("https://creighton-primo.hosted.exlibrisgroup.com/primo-explore/search?tab=default_tab&amp;search_scope=EVERYTHING&amp;vid=01CRU&amp;lang=en_US&amp;offset=0&amp;query=any,contains,991002345339702656","Catalog Record")</f>
        <v/>
      </c>
      <c r="AT849">
        <f>HYPERLINK("http://www.worldcat.org/oclc/30543839","WorldCat Record")</f>
        <v/>
      </c>
      <c r="AU849" t="inlineStr">
        <is>
          <t>234447092:eng</t>
        </is>
      </c>
      <c r="AV849" t="inlineStr">
        <is>
          <t>30543839</t>
        </is>
      </c>
      <c r="AW849" t="inlineStr">
        <is>
          <t>991002345339702656</t>
        </is>
      </c>
      <c r="AX849" t="inlineStr">
        <is>
          <t>991002345339702656</t>
        </is>
      </c>
      <c r="AY849" t="inlineStr">
        <is>
          <t>2260064610002656</t>
        </is>
      </c>
      <c r="AZ849" t="inlineStr">
        <is>
          <t>BOOK</t>
        </is>
      </c>
      <c r="BB849" t="inlineStr">
        <is>
          <t>9780674796744</t>
        </is>
      </c>
      <c r="BC849" t="inlineStr">
        <is>
          <t>32285002159910</t>
        </is>
      </c>
      <c r="BD849" t="inlineStr">
        <is>
          <t>893316705</t>
        </is>
      </c>
    </row>
    <row r="850">
      <c r="A850" t="inlineStr">
        <is>
          <t>No</t>
        </is>
      </c>
      <c r="B850" t="inlineStr">
        <is>
          <t>PL842.O75 H4</t>
        </is>
      </c>
      <c r="C850" t="inlineStr">
        <is>
          <t>0                      PL 0842000O  75                 H  4</t>
        </is>
      </c>
      <c r="D850" t="inlineStr">
        <is>
          <t>The Heiké story. Translated from the Japanese by Fuki Wooyenaka Utamatsu.</t>
        </is>
      </c>
      <c r="F850" t="inlineStr">
        <is>
          <t>No</t>
        </is>
      </c>
      <c r="G850" t="inlineStr">
        <is>
          <t>1</t>
        </is>
      </c>
      <c r="H850" t="inlineStr">
        <is>
          <t>No</t>
        </is>
      </c>
      <c r="I850" t="inlineStr">
        <is>
          <t>No</t>
        </is>
      </c>
      <c r="J850" t="inlineStr">
        <is>
          <t>0</t>
        </is>
      </c>
      <c r="K850" t="inlineStr">
        <is>
          <t>Yoshikawa, Eiji, 1892-1962.</t>
        </is>
      </c>
      <c r="L850" t="inlineStr">
        <is>
          <t>New York, A. A. Knopf, 1956.</t>
        </is>
      </c>
      <c r="M850" t="inlineStr">
        <is>
          <t>1956</t>
        </is>
      </c>
      <c r="N850" t="inlineStr">
        <is>
          <t>[1st ed.]</t>
        </is>
      </c>
      <c r="O850" t="inlineStr">
        <is>
          <t>eng</t>
        </is>
      </c>
      <c r="P850" t="inlineStr">
        <is>
          <t>nyu</t>
        </is>
      </c>
      <c r="R850" t="inlineStr">
        <is>
          <t xml:space="preserve">PL </t>
        </is>
      </c>
      <c r="S850" t="n">
        <v>1</v>
      </c>
      <c r="T850" t="n">
        <v>1</v>
      </c>
      <c r="U850" t="inlineStr">
        <is>
          <t>2010-03-15</t>
        </is>
      </c>
      <c r="V850" t="inlineStr">
        <is>
          <t>2010-03-15</t>
        </is>
      </c>
      <c r="W850" t="inlineStr">
        <is>
          <t>1997-09-16</t>
        </is>
      </c>
      <c r="X850" t="inlineStr">
        <is>
          <t>1997-09-16</t>
        </is>
      </c>
      <c r="Y850" t="n">
        <v>465</v>
      </c>
      <c r="Z850" t="n">
        <v>443</v>
      </c>
      <c r="AA850" t="n">
        <v>527</v>
      </c>
      <c r="AB850" t="n">
        <v>3</v>
      </c>
      <c r="AC850" t="n">
        <v>4</v>
      </c>
      <c r="AD850" t="n">
        <v>13</v>
      </c>
      <c r="AE850" t="n">
        <v>17</v>
      </c>
      <c r="AF850" t="n">
        <v>6</v>
      </c>
      <c r="AG850" t="n">
        <v>7</v>
      </c>
      <c r="AH850" t="n">
        <v>3</v>
      </c>
      <c r="AI850" t="n">
        <v>3</v>
      </c>
      <c r="AJ850" t="n">
        <v>5</v>
      </c>
      <c r="AK850" t="n">
        <v>8</v>
      </c>
      <c r="AL850" t="n">
        <v>2</v>
      </c>
      <c r="AM850" t="n">
        <v>3</v>
      </c>
      <c r="AN850" t="n">
        <v>0</v>
      </c>
      <c r="AO850" t="n">
        <v>0</v>
      </c>
      <c r="AP850" t="inlineStr">
        <is>
          <t>No</t>
        </is>
      </c>
      <c r="AQ850" t="inlineStr">
        <is>
          <t>Yes</t>
        </is>
      </c>
      <c r="AR850">
        <f>HYPERLINK("http://catalog.hathitrust.org/Record/001184890","HathiTrust Record")</f>
        <v/>
      </c>
      <c r="AS850">
        <f>HYPERLINK("https://creighton-primo.hosted.exlibrisgroup.com/primo-explore/search?tab=default_tab&amp;search_scope=EVERYTHING&amp;vid=01CRU&amp;lang=en_US&amp;offset=0&amp;query=any,contains,991002347859702656","Catalog Record")</f>
        <v/>
      </c>
      <c r="AT850">
        <f>HYPERLINK("http://www.worldcat.org/oclc/324833","WorldCat Record")</f>
        <v/>
      </c>
      <c r="AU850" t="inlineStr">
        <is>
          <t>1412114:eng</t>
        </is>
      </c>
      <c r="AV850" t="inlineStr">
        <is>
          <t>324833</t>
        </is>
      </c>
      <c r="AW850" t="inlineStr">
        <is>
          <t>991002347859702656</t>
        </is>
      </c>
      <c r="AX850" t="inlineStr">
        <is>
          <t>991002347859702656</t>
        </is>
      </c>
      <c r="AY850" t="inlineStr">
        <is>
          <t>2254731530002656</t>
        </is>
      </c>
      <c r="AZ850" t="inlineStr">
        <is>
          <t>BOOK</t>
        </is>
      </c>
      <c r="BC850" t="inlineStr">
        <is>
          <t>32285003224564</t>
        </is>
      </c>
      <c r="BD850" t="inlineStr">
        <is>
          <t>893779702</t>
        </is>
      </c>
    </row>
    <row r="851">
      <c r="A851" t="inlineStr">
        <is>
          <t>No</t>
        </is>
      </c>
      <c r="B851" t="inlineStr">
        <is>
          <t>PL845.B4 H2713 1989</t>
        </is>
      </c>
      <c r="C851" t="inlineStr">
        <is>
          <t>0                      PL 0845000B  4                  H  2713        1989</t>
        </is>
      </c>
      <c r="D851" t="inlineStr">
        <is>
          <t>The ark Sakura / Kobo Abe ; translated by Juliet Winters Carpenter.</t>
        </is>
      </c>
      <c r="F851" t="inlineStr">
        <is>
          <t>No</t>
        </is>
      </c>
      <c r="G851" t="inlineStr">
        <is>
          <t>1</t>
        </is>
      </c>
      <c r="H851" t="inlineStr">
        <is>
          <t>No</t>
        </is>
      </c>
      <c r="I851" t="inlineStr">
        <is>
          <t>No</t>
        </is>
      </c>
      <c r="J851" t="inlineStr">
        <is>
          <t>0</t>
        </is>
      </c>
      <c r="K851" t="inlineStr">
        <is>
          <t>Abe, Kōbō, 1924-1993.</t>
        </is>
      </c>
      <c r="L851" t="inlineStr">
        <is>
          <t>New York : Vintage Books, 1989, c1988.</t>
        </is>
      </c>
      <c r="M851" t="inlineStr">
        <is>
          <t>1989</t>
        </is>
      </c>
      <c r="N851" t="inlineStr">
        <is>
          <t>1st Vintage international ed.</t>
        </is>
      </c>
      <c r="O851" t="inlineStr">
        <is>
          <t>eng</t>
        </is>
      </c>
      <c r="P851" t="inlineStr">
        <is>
          <t>nyu</t>
        </is>
      </c>
      <c r="Q851" t="inlineStr">
        <is>
          <t>Vintage international</t>
        </is>
      </c>
      <c r="R851" t="inlineStr">
        <is>
          <t xml:space="preserve">PL </t>
        </is>
      </c>
      <c r="S851" t="n">
        <v>3</v>
      </c>
      <c r="T851" t="n">
        <v>3</v>
      </c>
      <c r="U851" t="inlineStr">
        <is>
          <t>2006-02-20</t>
        </is>
      </c>
      <c r="V851" t="inlineStr">
        <is>
          <t>2006-02-20</t>
        </is>
      </c>
      <c r="W851" t="inlineStr">
        <is>
          <t>1996-04-24</t>
        </is>
      </c>
      <c r="X851" t="inlineStr">
        <is>
          <t>1996-04-24</t>
        </is>
      </c>
      <c r="Y851" t="n">
        <v>109</v>
      </c>
      <c r="Z851" t="n">
        <v>93</v>
      </c>
      <c r="AA851" t="n">
        <v>579</v>
      </c>
      <c r="AB851" t="n">
        <v>2</v>
      </c>
      <c r="AC851" t="n">
        <v>4</v>
      </c>
      <c r="AD851" t="n">
        <v>3</v>
      </c>
      <c r="AE851" t="n">
        <v>19</v>
      </c>
      <c r="AF851" t="n">
        <v>1</v>
      </c>
      <c r="AG851" t="n">
        <v>7</v>
      </c>
      <c r="AH851" t="n">
        <v>0</v>
      </c>
      <c r="AI851" t="n">
        <v>4</v>
      </c>
      <c r="AJ851" t="n">
        <v>2</v>
      </c>
      <c r="AK851" t="n">
        <v>11</v>
      </c>
      <c r="AL851" t="n">
        <v>1</v>
      </c>
      <c r="AM851" t="n">
        <v>3</v>
      </c>
      <c r="AN851" t="n">
        <v>0</v>
      </c>
      <c r="AO851" t="n">
        <v>0</v>
      </c>
      <c r="AP851" t="inlineStr">
        <is>
          <t>No</t>
        </is>
      </c>
      <c r="AQ851" t="inlineStr">
        <is>
          <t>No</t>
        </is>
      </c>
      <c r="AS851">
        <f>HYPERLINK("https://creighton-primo.hosted.exlibrisgroup.com/primo-explore/search?tab=default_tab&amp;search_scope=EVERYTHING&amp;vid=01CRU&amp;lang=en_US&amp;offset=0&amp;query=any,contains,991001380319702656","Catalog Record")</f>
        <v/>
      </c>
      <c r="AT851">
        <f>HYPERLINK("http://www.worldcat.org/oclc/18681518","WorldCat Record")</f>
        <v/>
      </c>
      <c r="AU851" t="inlineStr">
        <is>
          <t>499476643:eng</t>
        </is>
      </c>
      <c r="AV851" t="inlineStr">
        <is>
          <t>18681518</t>
        </is>
      </c>
      <c r="AW851" t="inlineStr">
        <is>
          <t>991001380319702656</t>
        </is>
      </c>
      <c r="AX851" t="inlineStr">
        <is>
          <t>991001380319702656</t>
        </is>
      </c>
      <c r="AY851" t="inlineStr">
        <is>
          <t>2266148240002656</t>
        </is>
      </c>
      <c r="AZ851" t="inlineStr">
        <is>
          <t>BOOK</t>
        </is>
      </c>
      <c r="BB851" t="inlineStr">
        <is>
          <t>9780679721611</t>
        </is>
      </c>
      <c r="BC851" t="inlineStr">
        <is>
          <t>32285002156833</t>
        </is>
      </c>
      <c r="BD851" t="inlineStr">
        <is>
          <t>893785070</t>
        </is>
      </c>
    </row>
    <row r="852">
      <c r="A852" t="inlineStr">
        <is>
          <t>No</t>
        </is>
      </c>
      <c r="B852" t="inlineStr">
        <is>
          <t>PL845.B4 M613 1993</t>
        </is>
      </c>
      <c r="C852" t="inlineStr">
        <is>
          <t>0                      PL 0845000B  4                  M  613         1993</t>
        </is>
      </c>
      <c r="D852" t="inlineStr">
        <is>
          <t>The ruined map / by Kobo Abe ; translated from the Japanese by E. Dale Saunders.</t>
        </is>
      </c>
      <c r="F852" t="inlineStr">
        <is>
          <t>No</t>
        </is>
      </c>
      <c r="G852" t="inlineStr">
        <is>
          <t>1</t>
        </is>
      </c>
      <c r="H852" t="inlineStr">
        <is>
          <t>No</t>
        </is>
      </c>
      <c r="I852" t="inlineStr">
        <is>
          <t>No</t>
        </is>
      </c>
      <c r="J852" t="inlineStr">
        <is>
          <t>0</t>
        </is>
      </c>
      <c r="K852" t="inlineStr">
        <is>
          <t>Abe, Kōbō, 1924-1993.</t>
        </is>
      </c>
      <c r="L852" t="inlineStr">
        <is>
          <t>New York : Kodansha International, 1993.</t>
        </is>
      </c>
      <c r="M852" t="inlineStr">
        <is>
          <t>1993</t>
        </is>
      </c>
      <c r="O852" t="inlineStr">
        <is>
          <t>eng</t>
        </is>
      </c>
      <c r="P852" t="inlineStr">
        <is>
          <t>nyu</t>
        </is>
      </c>
      <c r="R852" t="inlineStr">
        <is>
          <t xml:space="preserve">PL </t>
        </is>
      </c>
      <c r="S852" t="n">
        <v>3</v>
      </c>
      <c r="T852" t="n">
        <v>3</v>
      </c>
      <c r="U852" t="inlineStr">
        <is>
          <t>2001-03-01</t>
        </is>
      </c>
      <c r="V852" t="inlineStr">
        <is>
          <t>2001-03-01</t>
        </is>
      </c>
      <c r="W852" t="inlineStr">
        <is>
          <t>1996-03-19</t>
        </is>
      </c>
      <c r="X852" t="inlineStr">
        <is>
          <t>1996-03-19</t>
        </is>
      </c>
      <c r="Y852" t="n">
        <v>90</v>
      </c>
      <c r="Z852" t="n">
        <v>68</v>
      </c>
      <c r="AA852" t="n">
        <v>770</v>
      </c>
      <c r="AB852" t="n">
        <v>2</v>
      </c>
      <c r="AC852" t="n">
        <v>7</v>
      </c>
      <c r="AD852" t="n">
        <v>3</v>
      </c>
      <c r="AE852" t="n">
        <v>27</v>
      </c>
      <c r="AF852" t="n">
        <v>1</v>
      </c>
      <c r="AG852" t="n">
        <v>10</v>
      </c>
      <c r="AH852" t="n">
        <v>0</v>
      </c>
      <c r="AI852" t="n">
        <v>5</v>
      </c>
      <c r="AJ852" t="n">
        <v>2</v>
      </c>
      <c r="AK852" t="n">
        <v>12</v>
      </c>
      <c r="AL852" t="n">
        <v>1</v>
      </c>
      <c r="AM852" t="n">
        <v>6</v>
      </c>
      <c r="AN852" t="n">
        <v>0</v>
      </c>
      <c r="AO852" t="n">
        <v>0</v>
      </c>
      <c r="AP852" t="inlineStr">
        <is>
          <t>No</t>
        </is>
      </c>
      <c r="AQ852" t="inlineStr">
        <is>
          <t>Yes</t>
        </is>
      </c>
      <c r="AR852">
        <f>HYPERLINK("http://catalog.hathitrust.org/Record/007110756","HathiTrust Record")</f>
        <v/>
      </c>
      <c r="AS852">
        <f>HYPERLINK("https://creighton-primo.hosted.exlibrisgroup.com/primo-explore/search?tab=default_tab&amp;search_scope=EVERYTHING&amp;vid=01CRU&amp;lang=en_US&amp;offset=0&amp;query=any,contains,991002029889702656","Catalog Record")</f>
        <v/>
      </c>
      <c r="AT852">
        <f>HYPERLINK("http://www.worldcat.org/oclc/25833657","WorldCat Record")</f>
        <v/>
      </c>
      <c r="AU852" t="inlineStr">
        <is>
          <t>28865116:eng</t>
        </is>
      </c>
      <c r="AV852" t="inlineStr">
        <is>
          <t>25833657</t>
        </is>
      </c>
      <c r="AW852" t="inlineStr">
        <is>
          <t>991002029889702656</t>
        </is>
      </c>
      <c r="AX852" t="inlineStr">
        <is>
          <t>991002029889702656</t>
        </is>
      </c>
      <c r="AY852" t="inlineStr">
        <is>
          <t>2263529410002656</t>
        </is>
      </c>
      <c r="AZ852" t="inlineStr">
        <is>
          <t>BOOK</t>
        </is>
      </c>
      <c r="BB852" t="inlineStr">
        <is>
          <t>9784770016355</t>
        </is>
      </c>
      <c r="BC852" t="inlineStr">
        <is>
          <t>32285002144664</t>
        </is>
      </c>
      <c r="BD852" t="inlineStr">
        <is>
          <t>893414741</t>
        </is>
      </c>
    </row>
    <row r="853">
      <c r="A853" t="inlineStr">
        <is>
          <t>No</t>
        </is>
      </c>
      <c r="B853" t="inlineStr">
        <is>
          <t>PL845.G3 R45</t>
        </is>
      </c>
      <c r="C853" t="inlineStr">
        <is>
          <t>0                      PL 0845000G  3                  R  45</t>
        </is>
      </c>
      <c r="D853" t="inlineStr">
        <is>
          <t>The reluctant admiral : Yamamoto and the Imperial Navy / Hiroyuki Agawa ; translated by John Bester.</t>
        </is>
      </c>
      <c r="F853" t="inlineStr">
        <is>
          <t>No</t>
        </is>
      </c>
      <c r="G853" t="inlineStr">
        <is>
          <t>1</t>
        </is>
      </c>
      <c r="H853" t="inlineStr">
        <is>
          <t>No</t>
        </is>
      </c>
      <c r="I853" t="inlineStr">
        <is>
          <t>No</t>
        </is>
      </c>
      <c r="J853" t="inlineStr">
        <is>
          <t>0</t>
        </is>
      </c>
      <c r="K853" t="inlineStr">
        <is>
          <t>Agawa, Hiroyuki, 1920-2015.</t>
        </is>
      </c>
      <c r="L853" t="inlineStr">
        <is>
          <t>Tokyo : Kodansha International ; New York : distributed in the United States through Harper &amp; Row, c1979, 1980 printing.</t>
        </is>
      </c>
      <c r="M853" t="inlineStr">
        <is>
          <t>1979</t>
        </is>
      </c>
      <c r="N853" t="inlineStr">
        <is>
          <t>1st ed.</t>
        </is>
      </c>
      <c r="O853" t="inlineStr">
        <is>
          <t>eng</t>
        </is>
      </c>
      <c r="P853" t="inlineStr">
        <is>
          <t xml:space="preserve">ja </t>
        </is>
      </c>
      <c r="R853" t="inlineStr">
        <is>
          <t xml:space="preserve">PL </t>
        </is>
      </c>
      <c r="S853" t="n">
        <v>3</v>
      </c>
      <c r="T853" t="n">
        <v>3</v>
      </c>
      <c r="U853" t="inlineStr">
        <is>
          <t>1998-07-02</t>
        </is>
      </c>
      <c r="V853" t="inlineStr">
        <is>
          <t>1998-07-02</t>
        </is>
      </c>
      <c r="W853" t="inlineStr">
        <is>
          <t>1993-05-05</t>
        </is>
      </c>
      <c r="X853" t="inlineStr">
        <is>
          <t>1993-05-05</t>
        </is>
      </c>
      <c r="Y853" t="n">
        <v>647</v>
      </c>
      <c r="Z853" t="n">
        <v>551</v>
      </c>
      <c r="AA853" t="n">
        <v>715</v>
      </c>
      <c r="AB853" t="n">
        <v>7</v>
      </c>
      <c r="AC853" t="n">
        <v>9</v>
      </c>
      <c r="AD853" t="n">
        <v>20</v>
      </c>
      <c r="AE853" t="n">
        <v>28</v>
      </c>
      <c r="AF853" t="n">
        <v>8</v>
      </c>
      <c r="AG853" t="n">
        <v>12</v>
      </c>
      <c r="AH853" t="n">
        <v>6</v>
      </c>
      <c r="AI853" t="n">
        <v>6</v>
      </c>
      <c r="AJ853" t="n">
        <v>11</v>
      </c>
      <c r="AK853" t="n">
        <v>15</v>
      </c>
      <c r="AL853" t="n">
        <v>2</v>
      </c>
      <c r="AM853" t="n">
        <v>4</v>
      </c>
      <c r="AN853" t="n">
        <v>0</v>
      </c>
      <c r="AO853" t="n">
        <v>0</v>
      </c>
      <c r="AP853" t="inlineStr">
        <is>
          <t>No</t>
        </is>
      </c>
      <c r="AQ853" t="inlineStr">
        <is>
          <t>Yes</t>
        </is>
      </c>
      <c r="AR853">
        <f>HYPERLINK("http://catalog.hathitrust.org/Record/000019437","HathiTrust Record")</f>
        <v/>
      </c>
      <c r="AS853">
        <f>HYPERLINK("https://creighton-primo.hosted.exlibrisgroup.com/primo-explore/search?tab=default_tab&amp;search_scope=EVERYTHING&amp;vid=01CRU&amp;lang=en_US&amp;offset=0&amp;query=any,contains,991004822069702656","Catalog Record")</f>
        <v/>
      </c>
      <c r="AT853">
        <f>HYPERLINK("http://www.worldcat.org/oclc/5336705","WorldCat Record")</f>
        <v/>
      </c>
      <c r="AU853" t="inlineStr">
        <is>
          <t>8910170843:eng</t>
        </is>
      </c>
      <c r="AV853" t="inlineStr">
        <is>
          <t>5336705</t>
        </is>
      </c>
      <c r="AW853" t="inlineStr">
        <is>
          <t>991004822069702656</t>
        </is>
      </c>
      <c r="AX853" t="inlineStr">
        <is>
          <t>991004822069702656</t>
        </is>
      </c>
      <c r="AY853" t="inlineStr">
        <is>
          <t>2265353850002656</t>
        </is>
      </c>
      <c r="AZ853" t="inlineStr">
        <is>
          <t>BOOK</t>
        </is>
      </c>
      <c r="BB853" t="inlineStr">
        <is>
          <t>9780870113550</t>
        </is>
      </c>
      <c r="BC853" t="inlineStr">
        <is>
          <t>32285001672103</t>
        </is>
      </c>
      <c r="BD853" t="inlineStr">
        <is>
          <t>893895523</t>
        </is>
      </c>
    </row>
    <row r="854">
      <c r="A854" t="inlineStr">
        <is>
          <t>No</t>
        </is>
      </c>
      <c r="B854" t="inlineStr">
        <is>
          <t>PL845.R5 I913 1994</t>
        </is>
      </c>
      <c r="C854" t="inlineStr">
        <is>
          <t>0                      PL 0845000R  5                  I  913         1994</t>
        </is>
      </c>
      <c r="D854" t="inlineStr">
        <is>
          <t>Kabuki dancer / Sawako Ariyoshi ; translated by James R. Brandon.</t>
        </is>
      </c>
      <c r="F854" t="inlineStr">
        <is>
          <t>No</t>
        </is>
      </c>
      <c r="G854" t="inlineStr">
        <is>
          <t>1</t>
        </is>
      </c>
      <c r="H854" t="inlineStr">
        <is>
          <t>No</t>
        </is>
      </c>
      <c r="I854" t="inlineStr">
        <is>
          <t>No</t>
        </is>
      </c>
      <c r="J854" t="inlineStr">
        <is>
          <t>0</t>
        </is>
      </c>
      <c r="K854" t="inlineStr">
        <is>
          <t>Ariyoshi, Sawako, 1931-1984.</t>
        </is>
      </c>
      <c r="L854" t="inlineStr">
        <is>
          <t>Tokyo ; New York : Kodansha International ; New York : Kodansha America, 1994.</t>
        </is>
      </c>
      <c r="M854" t="inlineStr">
        <is>
          <t>1972</t>
        </is>
      </c>
      <c r="N854" t="inlineStr">
        <is>
          <t>1st ed.</t>
        </is>
      </c>
      <c r="O854" t="inlineStr">
        <is>
          <t>eng</t>
        </is>
      </c>
      <c r="P854" t="inlineStr">
        <is>
          <t xml:space="preserve">ja </t>
        </is>
      </c>
      <c r="R854" t="inlineStr">
        <is>
          <t xml:space="preserve">PL </t>
        </is>
      </c>
      <c r="S854" t="n">
        <v>2</v>
      </c>
      <c r="T854" t="n">
        <v>2</v>
      </c>
      <c r="U854" t="inlineStr">
        <is>
          <t>2003-04-08</t>
        </is>
      </c>
      <c r="V854" t="inlineStr">
        <is>
          <t>2003-04-08</t>
        </is>
      </c>
      <c r="W854" t="inlineStr">
        <is>
          <t>1999-10-28</t>
        </is>
      </c>
      <c r="X854" t="inlineStr">
        <is>
          <t>1999-10-28</t>
        </is>
      </c>
      <c r="Y854" t="n">
        <v>267</v>
      </c>
      <c r="Z854" t="n">
        <v>197</v>
      </c>
      <c r="AA854" t="n">
        <v>233</v>
      </c>
      <c r="AB854" t="n">
        <v>3</v>
      </c>
      <c r="AC854" t="n">
        <v>4</v>
      </c>
      <c r="AD854" t="n">
        <v>7</v>
      </c>
      <c r="AE854" t="n">
        <v>11</v>
      </c>
      <c r="AF854" t="n">
        <v>2</v>
      </c>
      <c r="AG854" t="n">
        <v>4</v>
      </c>
      <c r="AH854" t="n">
        <v>3</v>
      </c>
      <c r="AI854" t="n">
        <v>3</v>
      </c>
      <c r="AJ854" t="n">
        <v>4</v>
      </c>
      <c r="AK854" t="n">
        <v>5</v>
      </c>
      <c r="AL854" t="n">
        <v>2</v>
      </c>
      <c r="AM854" t="n">
        <v>3</v>
      </c>
      <c r="AN854" t="n">
        <v>0</v>
      </c>
      <c r="AO854" t="n">
        <v>0</v>
      </c>
      <c r="AP854" t="inlineStr">
        <is>
          <t>No</t>
        </is>
      </c>
      <c r="AQ854" t="inlineStr">
        <is>
          <t>No</t>
        </is>
      </c>
      <c r="AS854">
        <f>HYPERLINK("https://creighton-primo.hosted.exlibrisgroup.com/primo-explore/search?tab=default_tab&amp;search_scope=EVERYTHING&amp;vid=01CRU&amp;lang=en_US&amp;offset=0&amp;query=any,contains,991002245599702656","Catalog Record")</f>
        <v/>
      </c>
      <c r="AT854">
        <f>HYPERLINK("http://www.worldcat.org/oclc/28964360","WorldCat Record")</f>
        <v/>
      </c>
      <c r="AU854" t="inlineStr">
        <is>
          <t>119353756:eng</t>
        </is>
      </c>
      <c r="AV854" t="inlineStr">
        <is>
          <t>28964360</t>
        </is>
      </c>
      <c r="AW854" t="inlineStr">
        <is>
          <t>991002245599702656</t>
        </is>
      </c>
      <c r="AX854" t="inlineStr">
        <is>
          <t>991002245599702656</t>
        </is>
      </c>
      <c r="AY854" t="inlineStr">
        <is>
          <t>2255147890002656</t>
        </is>
      </c>
      <c r="AZ854" t="inlineStr">
        <is>
          <t>BOOK</t>
        </is>
      </c>
      <c r="BB854" t="inlineStr">
        <is>
          <t>9784770017833</t>
        </is>
      </c>
      <c r="BC854" t="inlineStr">
        <is>
          <t>32285003615241</t>
        </is>
      </c>
      <c r="BD854" t="inlineStr">
        <is>
          <t>893792217</t>
        </is>
      </c>
    </row>
    <row r="855">
      <c r="A855" t="inlineStr">
        <is>
          <t>No</t>
        </is>
      </c>
      <c r="B855" t="inlineStr">
        <is>
          <t>PL847.I5 T27 2001</t>
        </is>
      </c>
      <c r="C855" t="inlineStr">
        <is>
          <t>0                      PL 0847000I  5                  T  27          2001</t>
        </is>
      </c>
      <c r="D855" t="inlineStr">
        <is>
          <t>The Taiping Rebellion / Chin Shunshin ; translated by Joshua A. Fogel.</t>
        </is>
      </c>
      <c r="F855" t="inlineStr">
        <is>
          <t>No</t>
        </is>
      </c>
      <c r="G855" t="inlineStr">
        <is>
          <t>1</t>
        </is>
      </c>
      <c r="H855" t="inlineStr">
        <is>
          <t>No</t>
        </is>
      </c>
      <c r="I855" t="inlineStr">
        <is>
          <t>No</t>
        </is>
      </c>
      <c r="J855" t="inlineStr">
        <is>
          <t>0</t>
        </is>
      </c>
      <c r="K855" t="inlineStr">
        <is>
          <t>Chin, Shunshin, 1924-2015.</t>
        </is>
      </c>
      <c r="L855" t="inlineStr">
        <is>
          <t>Armonk, N.Y. : M.E. Sharpe, c2001.</t>
        </is>
      </c>
      <c r="M855" t="inlineStr">
        <is>
          <t>2001</t>
        </is>
      </c>
      <c r="O855" t="inlineStr">
        <is>
          <t>eng</t>
        </is>
      </c>
      <c r="P855" t="inlineStr">
        <is>
          <t>nyu</t>
        </is>
      </c>
      <c r="R855" t="inlineStr">
        <is>
          <t xml:space="preserve">PL </t>
        </is>
      </c>
      <c r="S855" t="n">
        <v>3</v>
      </c>
      <c r="T855" t="n">
        <v>3</v>
      </c>
      <c r="U855" t="inlineStr">
        <is>
          <t>2005-03-18</t>
        </is>
      </c>
      <c r="V855" t="inlineStr">
        <is>
          <t>2005-03-18</t>
        </is>
      </c>
      <c r="W855" t="inlineStr">
        <is>
          <t>2001-10-04</t>
        </is>
      </c>
      <c r="X855" t="inlineStr">
        <is>
          <t>2001-10-04</t>
        </is>
      </c>
      <c r="Y855" t="n">
        <v>209</v>
      </c>
      <c r="Z855" t="n">
        <v>174</v>
      </c>
      <c r="AA855" t="n">
        <v>192</v>
      </c>
      <c r="AB855" t="n">
        <v>2</v>
      </c>
      <c r="AC855" t="n">
        <v>2</v>
      </c>
      <c r="AD855" t="n">
        <v>10</v>
      </c>
      <c r="AE855" t="n">
        <v>10</v>
      </c>
      <c r="AF855" t="n">
        <v>3</v>
      </c>
      <c r="AG855" t="n">
        <v>3</v>
      </c>
      <c r="AH855" t="n">
        <v>4</v>
      </c>
      <c r="AI855" t="n">
        <v>4</v>
      </c>
      <c r="AJ855" t="n">
        <v>4</v>
      </c>
      <c r="AK855" t="n">
        <v>4</v>
      </c>
      <c r="AL855" t="n">
        <v>1</v>
      </c>
      <c r="AM855" t="n">
        <v>1</v>
      </c>
      <c r="AN855" t="n">
        <v>0</v>
      </c>
      <c r="AO855" t="n">
        <v>0</v>
      </c>
      <c r="AP855" t="inlineStr">
        <is>
          <t>No</t>
        </is>
      </c>
      <c r="AQ855" t="inlineStr">
        <is>
          <t>Yes</t>
        </is>
      </c>
      <c r="AR855">
        <f>HYPERLINK("http://catalog.hathitrust.org/Record/007139695","HathiTrust Record")</f>
        <v/>
      </c>
      <c r="AS855">
        <f>HYPERLINK("https://creighton-primo.hosted.exlibrisgroup.com/primo-explore/search?tab=default_tab&amp;search_scope=EVERYTHING&amp;vid=01CRU&amp;lang=en_US&amp;offset=0&amp;query=any,contains,991003623529702656","Catalog Record")</f>
        <v/>
      </c>
      <c r="AT855">
        <f>HYPERLINK("http://www.worldcat.org/oclc/42592929","WorldCat Record")</f>
        <v/>
      </c>
      <c r="AU855" t="inlineStr">
        <is>
          <t>2829760054:eng</t>
        </is>
      </c>
      <c r="AV855" t="inlineStr">
        <is>
          <t>42592929</t>
        </is>
      </c>
      <c r="AW855" t="inlineStr">
        <is>
          <t>991003623529702656</t>
        </is>
      </c>
      <c r="AX855" t="inlineStr">
        <is>
          <t>991003623529702656</t>
        </is>
      </c>
      <c r="AY855" t="inlineStr">
        <is>
          <t>2255973530002656</t>
        </is>
      </c>
      <c r="AZ855" t="inlineStr">
        <is>
          <t>BOOK</t>
        </is>
      </c>
      <c r="BB855" t="inlineStr">
        <is>
          <t>9780765601001</t>
        </is>
      </c>
      <c r="BC855" t="inlineStr">
        <is>
          <t>32285004395439</t>
        </is>
      </c>
      <c r="BD855" t="inlineStr">
        <is>
          <t>893717900</t>
        </is>
      </c>
    </row>
    <row r="856">
      <c r="A856" t="inlineStr">
        <is>
          <t>No</t>
        </is>
      </c>
      <c r="B856" t="inlineStr">
        <is>
          <t>PL849.N4 K82</t>
        </is>
      </c>
      <c r="C856" t="inlineStr">
        <is>
          <t>0                      PL 0849000N  4                  K  82</t>
        </is>
      </c>
      <c r="D856" t="inlineStr">
        <is>
          <t>When I whistle : a novel / Shusaku Endo ; translated by Van C. Gessel.</t>
        </is>
      </c>
      <c r="F856" t="inlineStr">
        <is>
          <t>No</t>
        </is>
      </c>
      <c r="G856" t="inlineStr">
        <is>
          <t>1</t>
        </is>
      </c>
      <c r="H856" t="inlineStr">
        <is>
          <t>No</t>
        </is>
      </c>
      <c r="I856" t="inlineStr">
        <is>
          <t>No</t>
        </is>
      </c>
      <c r="J856" t="inlineStr">
        <is>
          <t>0</t>
        </is>
      </c>
      <c r="K856" t="inlineStr">
        <is>
          <t>Endō, Shūsaku, 1923-1996.</t>
        </is>
      </c>
      <c r="L856" t="inlineStr">
        <is>
          <t>New York : Taplinger Pub. Co., 1979.</t>
        </is>
      </c>
      <c r="M856" t="inlineStr">
        <is>
          <t>1979</t>
        </is>
      </c>
      <c r="O856" t="inlineStr">
        <is>
          <t>eng</t>
        </is>
      </c>
      <c r="P856" t="inlineStr">
        <is>
          <t>nyu</t>
        </is>
      </c>
      <c r="R856" t="inlineStr">
        <is>
          <t xml:space="preserve">PL </t>
        </is>
      </c>
      <c r="S856" t="n">
        <v>5</v>
      </c>
      <c r="T856" t="n">
        <v>5</v>
      </c>
      <c r="U856" t="inlineStr">
        <is>
          <t>2005-03-07</t>
        </is>
      </c>
      <c r="V856" t="inlineStr">
        <is>
          <t>2005-03-07</t>
        </is>
      </c>
      <c r="W856" t="inlineStr">
        <is>
          <t>1993-05-05</t>
        </is>
      </c>
      <c r="X856" t="inlineStr">
        <is>
          <t>1993-05-05</t>
        </is>
      </c>
      <c r="Y856" t="n">
        <v>415</v>
      </c>
      <c r="Z856" t="n">
        <v>388</v>
      </c>
      <c r="AA856" t="n">
        <v>508</v>
      </c>
      <c r="AB856" t="n">
        <v>2</v>
      </c>
      <c r="AC856" t="n">
        <v>3</v>
      </c>
      <c r="AD856" t="n">
        <v>17</v>
      </c>
      <c r="AE856" t="n">
        <v>24</v>
      </c>
      <c r="AF856" t="n">
        <v>5</v>
      </c>
      <c r="AG856" t="n">
        <v>9</v>
      </c>
      <c r="AH856" t="n">
        <v>6</v>
      </c>
      <c r="AI856" t="n">
        <v>6</v>
      </c>
      <c r="AJ856" t="n">
        <v>12</v>
      </c>
      <c r="AK856" t="n">
        <v>15</v>
      </c>
      <c r="AL856" t="n">
        <v>1</v>
      </c>
      <c r="AM856" t="n">
        <v>2</v>
      </c>
      <c r="AN856" t="n">
        <v>0</v>
      </c>
      <c r="AO856" t="n">
        <v>0</v>
      </c>
      <c r="AP856" t="inlineStr">
        <is>
          <t>No</t>
        </is>
      </c>
      <c r="AQ856" t="inlineStr">
        <is>
          <t>Yes</t>
        </is>
      </c>
      <c r="AR856">
        <f>HYPERLINK("http://catalog.hathitrust.org/Record/000574999","HathiTrust Record")</f>
        <v/>
      </c>
      <c r="AS856">
        <f>HYPERLINK("https://creighton-primo.hosted.exlibrisgroup.com/primo-explore/search?tab=default_tab&amp;search_scope=EVERYTHING&amp;vid=01CRU&amp;lang=en_US&amp;offset=0&amp;query=any,contains,991004754579702656","Catalog Record")</f>
        <v/>
      </c>
      <c r="AT856">
        <f>HYPERLINK("http://www.worldcat.org/oclc/4957114","WorldCat Record")</f>
        <v/>
      </c>
      <c r="AU856" t="inlineStr">
        <is>
          <t>102265162:eng</t>
        </is>
      </c>
      <c r="AV856" t="inlineStr">
        <is>
          <t>4957114</t>
        </is>
      </c>
      <c r="AW856" t="inlineStr">
        <is>
          <t>991004754579702656</t>
        </is>
      </c>
      <c r="AX856" t="inlineStr">
        <is>
          <t>991004754579702656</t>
        </is>
      </c>
      <c r="AY856" t="inlineStr">
        <is>
          <t>2270415690002656</t>
        </is>
      </c>
      <c r="AZ856" t="inlineStr">
        <is>
          <t>BOOK</t>
        </is>
      </c>
      <c r="BB856" t="inlineStr">
        <is>
          <t>9780800882433</t>
        </is>
      </c>
      <c r="BC856" t="inlineStr">
        <is>
          <t>32285001672129</t>
        </is>
      </c>
      <c r="BD856" t="inlineStr">
        <is>
          <t>893344216</t>
        </is>
      </c>
    </row>
    <row r="857">
      <c r="A857" t="inlineStr">
        <is>
          <t>No</t>
        </is>
      </c>
      <c r="B857" t="inlineStr">
        <is>
          <t>PL853.K33 W2913 1978</t>
        </is>
      </c>
      <c r="C857" t="inlineStr">
        <is>
          <t>0                      PL 0853000K  33                 W  2913        1978</t>
        </is>
      </c>
      <c r="D857" t="inlineStr">
        <is>
          <t>Songs from my heart : poems and photographs / by Daisaku Ikeda ; translated by Burton Watson.</t>
        </is>
      </c>
      <c r="F857" t="inlineStr">
        <is>
          <t>No</t>
        </is>
      </c>
      <c r="G857" t="inlineStr">
        <is>
          <t>1</t>
        </is>
      </c>
      <c r="H857" t="inlineStr">
        <is>
          <t>No</t>
        </is>
      </c>
      <c r="I857" t="inlineStr">
        <is>
          <t>No</t>
        </is>
      </c>
      <c r="J857" t="inlineStr">
        <is>
          <t>0</t>
        </is>
      </c>
      <c r="K857" t="inlineStr">
        <is>
          <t>Ikeda, Daisaku.</t>
        </is>
      </c>
      <c r="L857" t="inlineStr">
        <is>
          <t>New York : Weatherhill, 1978.</t>
        </is>
      </c>
      <c r="M857" t="inlineStr">
        <is>
          <t>1978</t>
        </is>
      </c>
      <c r="N857" t="inlineStr">
        <is>
          <t>1st English trade ed.</t>
        </is>
      </c>
      <c r="O857" t="inlineStr">
        <is>
          <t>eng</t>
        </is>
      </c>
      <c r="P857" t="inlineStr">
        <is>
          <t>nyu</t>
        </is>
      </c>
      <c r="R857" t="inlineStr">
        <is>
          <t xml:space="preserve">PL </t>
        </is>
      </c>
      <c r="S857" t="n">
        <v>2</v>
      </c>
      <c r="T857" t="n">
        <v>2</v>
      </c>
      <c r="U857" t="inlineStr">
        <is>
          <t>1994-04-30</t>
        </is>
      </c>
      <c r="V857" t="inlineStr">
        <is>
          <t>1994-04-30</t>
        </is>
      </c>
      <c r="W857" t="inlineStr">
        <is>
          <t>1990-03-15</t>
        </is>
      </c>
      <c r="X857" t="inlineStr">
        <is>
          <t>1990-03-15</t>
        </is>
      </c>
      <c r="Y857" t="n">
        <v>595</v>
      </c>
      <c r="Z857" t="n">
        <v>431</v>
      </c>
      <c r="AA857" t="n">
        <v>452</v>
      </c>
      <c r="AB857" t="n">
        <v>5</v>
      </c>
      <c r="AC857" t="n">
        <v>5</v>
      </c>
      <c r="AD857" t="n">
        <v>15</v>
      </c>
      <c r="AE857" t="n">
        <v>15</v>
      </c>
      <c r="AF857" t="n">
        <v>4</v>
      </c>
      <c r="AG857" t="n">
        <v>4</v>
      </c>
      <c r="AH857" t="n">
        <v>5</v>
      </c>
      <c r="AI857" t="n">
        <v>5</v>
      </c>
      <c r="AJ857" t="n">
        <v>4</v>
      </c>
      <c r="AK857" t="n">
        <v>4</v>
      </c>
      <c r="AL857" t="n">
        <v>4</v>
      </c>
      <c r="AM857" t="n">
        <v>4</v>
      </c>
      <c r="AN857" t="n">
        <v>0</v>
      </c>
      <c r="AO857" t="n">
        <v>0</v>
      </c>
      <c r="AP857" t="inlineStr">
        <is>
          <t>No</t>
        </is>
      </c>
      <c r="AQ857" t="inlineStr">
        <is>
          <t>Yes</t>
        </is>
      </c>
      <c r="AR857">
        <f>HYPERLINK("http://catalog.hathitrust.org/Record/002061888","HathiTrust Record")</f>
        <v/>
      </c>
      <c r="AS857">
        <f>HYPERLINK("https://creighton-primo.hosted.exlibrisgroup.com/primo-explore/search?tab=default_tab&amp;search_scope=EVERYTHING&amp;vid=01CRU&amp;lang=en_US&amp;offset=0&amp;query=any,contains,991004503959702656","Catalog Record")</f>
        <v/>
      </c>
      <c r="AT857">
        <f>HYPERLINK("http://www.worldcat.org/oclc/3730205","WorldCat Record")</f>
        <v/>
      </c>
      <c r="AU857" t="inlineStr">
        <is>
          <t>12423607:eng</t>
        </is>
      </c>
      <c r="AV857" t="inlineStr">
        <is>
          <t>3730205</t>
        </is>
      </c>
      <c r="AW857" t="inlineStr">
        <is>
          <t>991004503959702656</t>
        </is>
      </c>
      <c r="AX857" t="inlineStr">
        <is>
          <t>991004503959702656</t>
        </is>
      </c>
      <c r="AY857" t="inlineStr">
        <is>
          <t>2268893980002656</t>
        </is>
      </c>
      <c r="AZ857" t="inlineStr">
        <is>
          <t>BOOK</t>
        </is>
      </c>
      <c r="BB857" t="inlineStr">
        <is>
          <t>9780834801332</t>
        </is>
      </c>
      <c r="BC857" t="inlineStr">
        <is>
          <t>32285000021468</t>
        </is>
      </c>
      <c r="BD857" t="inlineStr">
        <is>
          <t>893319322</t>
        </is>
      </c>
    </row>
    <row r="858">
      <c r="A858" t="inlineStr">
        <is>
          <t>No</t>
        </is>
      </c>
      <c r="B858" t="inlineStr">
        <is>
          <t>PL853.S5953 M413 1988</t>
        </is>
      </c>
      <c r="C858" t="inlineStr">
        <is>
          <t>0                      PL 0853000S  5953               M  413         1988</t>
        </is>
      </c>
      <c r="D858" t="inlineStr">
        <is>
          <t>We had those occupation blues : Japan and the Americans / by Gijin Isoi ; translated by Steven Karpa.</t>
        </is>
      </c>
      <c r="F858" t="inlineStr">
        <is>
          <t>No</t>
        </is>
      </c>
      <c r="G858" t="inlineStr">
        <is>
          <t>1</t>
        </is>
      </c>
      <c r="H858" t="inlineStr">
        <is>
          <t>No</t>
        </is>
      </c>
      <c r="I858" t="inlineStr">
        <is>
          <t>No</t>
        </is>
      </c>
      <c r="J858" t="inlineStr">
        <is>
          <t>0</t>
        </is>
      </c>
      <c r="K858" t="inlineStr">
        <is>
          <t>Isoi, Gijin.</t>
        </is>
      </c>
      <c r="L858" t="inlineStr">
        <is>
          <t>Saratoga, Calif. : R&amp;E Publishers, c1988.</t>
        </is>
      </c>
      <c r="M858" t="inlineStr">
        <is>
          <t>1988</t>
        </is>
      </c>
      <c r="O858" t="inlineStr">
        <is>
          <t>eng</t>
        </is>
      </c>
      <c r="P858" t="inlineStr">
        <is>
          <t>cau</t>
        </is>
      </c>
      <c r="R858" t="inlineStr">
        <is>
          <t xml:space="preserve">PL </t>
        </is>
      </c>
      <c r="S858" t="n">
        <v>2</v>
      </c>
      <c r="T858" t="n">
        <v>2</v>
      </c>
      <c r="U858" t="inlineStr">
        <is>
          <t>1995-04-25</t>
        </is>
      </c>
      <c r="V858" t="inlineStr">
        <is>
          <t>1995-04-25</t>
        </is>
      </c>
      <c r="W858" t="inlineStr">
        <is>
          <t>1991-08-26</t>
        </is>
      </c>
      <c r="X858" t="inlineStr">
        <is>
          <t>1991-08-26</t>
        </is>
      </c>
      <c r="Y858" t="n">
        <v>58</v>
      </c>
      <c r="Z858" t="n">
        <v>55</v>
      </c>
      <c r="AA858" t="n">
        <v>60</v>
      </c>
      <c r="AB858" t="n">
        <v>1</v>
      </c>
      <c r="AC858" t="n">
        <v>1</v>
      </c>
      <c r="AD858" t="n">
        <v>0</v>
      </c>
      <c r="AE858" t="n">
        <v>0</v>
      </c>
      <c r="AF858" t="n">
        <v>0</v>
      </c>
      <c r="AG858" t="n">
        <v>0</v>
      </c>
      <c r="AH858" t="n">
        <v>0</v>
      </c>
      <c r="AI858" t="n">
        <v>0</v>
      </c>
      <c r="AJ858" t="n">
        <v>0</v>
      </c>
      <c r="AK858" t="n">
        <v>0</v>
      </c>
      <c r="AL858" t="n">
        <v>0</v>
      </c>
      <c r="AM858" t="n">
        <v>0</v>
      </c>
      <c r="AN858" t="n">
        <v>0</v>
      </c>
      <c r="AO858" t="n">
        <v>0</v>
      </c>
      <c r="AP858" t="inlineStr">
        <is>
          <t>No</t>
        </is>
      </c>
      <c r="AQ858" t="inlineStr">
        <is>
          <t>No</t>
        </is>
      </c>
      <c r="AS858">
        <f>HYPERLINK("https://creighton-primo.hosted.exlibrisgroup.com/primo-explore/search?tab=default_tab&amp;search_scope=EVERYTHING&amp;vid=01CRU&amp;lang=en_US&amp;offset=0&amp;query=any,contains,991001447119702656","Catalog Record")</f>
        <v/>
      </c>
      <c r="AT858">
        <f>HYPERLINK("http://www.worldcat.org/oclc/19297078","WorldCat Record")</f>
        <v/>
      </c>
      <c r="AU858" t="inlineStr">
        <is>
          <t>21930946:eng</t>
        </is>
      </c>
      <c r="AV858" t="inlineStr">
        <is>
          <t>19297078</t>
        </is>
      </c>
      <c r="AW858" t="inlineStr">
        <is>
          <t>991001447119702656</t>
        </is>
      </c>
      <c r="AX858" t="inlineStr">
        <is>
          <t>991001447119702656</t>
        </is>
      </c>
      <c r="AY858" t="inlineStr">
        <is>
          <t>2258711970002656</t>
        </is>
      </c>
      <c r="AZ858" t="inlineStr">
        <is>
          <t>BOOK</t>
        </is>
      </c>
      <c r="BB858" t="inlineStr">
        <is>
          <t>9780882477824</t>
        </is>
      </c>
      <c r="BC858" t="inlineStr">
        <is>
          <t>32285000669829</t>
        </is>
      </c>
      <c r="BD858" t="inlineStr">
        <is>
          <t>893785108</t>
        </is>
      </c>
    </row>
    <row r="859">
      <c r="A859" t="inlineStr">
        <is>
          <t>No</t>
        </is>
      </c>
      <c r="B859" t="inlineStr">
        <is>
          <t>PL855 .B7 1930</t>
        </is>
      </c>
      <c r="C859" t="inlineStr">
        <is>
          <t>0                      PL 0855000B  7           1930</t>
        </is>
      </c>
      <c r="D859" t="inlineStr">
        <is>
          <t>The literature of Japan / by J. Ingram Bryan.</t>
        </is>
      </c>
      <c r="F859" t="inlineStr">
        <is>
          <t>No</t>
        </is>
      </c>
      <c r="G859" t="inlineStr">
        <is>
          <t>1</t>
        </is>
      </c>
      <c r="H859" t="inlineStr">
        <is>
          <t>No</t>
        </is>
      </c>
      <c r="I859" t="inlineStr">
        <is>
          <t>No</t>
        </is>
      </c>
      <c r="J859" t="inlineStr">
        <is>
          <t>0</t>
        </is>
      </c>
      <c r="K859" t="inlineStr">
        <is>
          <t>Bryan, J. Ingram (John Ingram), 1868-1953.</t>
        </is>
      </c>
      <c r="L859" t="inlineStr">
        <is>
          <t>New York : Holt ; London : Butterworth, 1930.</t>
        </is>
      </c>
      <c r="M859" t="inlineStr">
        <is>
          <t>1930</t>
        </is>
      </c>
      <c r="O859" t="inlineStr">
        <is>
          <t>eng</t>
        </is>
      </c>
      <c r="P859" t="inlineStr">
        <is>
          <t>nyu</t>
        </is>
      </c>
      <c r="Q859" t="inlineStr">
        <is>
          <t>The Home university library of modern knowledge [132]</t>
        </is>
      </c>
      <c r="R859" t="inlineStr">
        <is>
          <t xml:space="preserve">PL </t>
        </is>
      </c>
      <c r="S859" t="n">
        <v>16</v>
      </c>
      <c r="T859" t="n">
        <v>16</v>
      </c>
      <c r="U859" t="inlineStr">
        <is>
          <t>1999-05-28</t>
        </is>
      </c>
      <c r="V859" t="inlineStr">
        <is>
          <t>1999-05-28</t>
        </is>
      </c>
      <c r="W859" t="inlineStr">
        <is>
          <t>1992-03-24</t>
        </is>
      </c>
      <c r="X859" t="inlineStr">
        <is>
          <t>1992-03-24</t>
        </is>
      </c>
      <c r="Y859" t="n">
        <v>85</v>
      </c>
      <c r="Z859" t="n">
        <v>84</v>
      </c>
      <c r="AA859" t="n">
        <v>326</v>
      </c>
      <c r="AB859" t="n">
        <v>2</v>
      </c>
      <c r="AC859" t="n">
        <v>4</v>
      </c>
      <c r="AD859" t="n">
        <v>3</v>
      </c>
      <c r="AE859" t="n">
        <v>9</v>
      </c>
      <c r="AF859" t="n">
        <v>0</v>
      </c>
      <c r="AG859" t="n">
        <v>1</v>
      </c>
      <c r="AH859" t="n">
        <v>1</v>
      </c>
      <c r="AI859" t="n">
        <v>1</v>
      </c>
      <c r="AJ859" t="n">
        <v>1</v>
      </c>
      <c r="AK859" t="n">
        <v>5</v>
      </c>
      <c r="AL859" t="n">
        <v>1</v>
      </c>
      <c r="AM859" t="n">
        <v>3</v>
      </c>
      <c r="AN859" t="n">
        <v>0</v>
      </c>
      <c r="AO859" t="n">
        <v>0</v>
      </c>
      <c r="AP859" t="inlineStr">
        <is>
          <t>Yes</t>
        </is>
      </c>
      <c r="AQ859" t="inlineStr">
        <is>
          <t>No</t>
        </is>
      </c>
      <c r="AR859">
        <f>HYPERLINK("http://catalog.hathitrust.org/Record/001854786","HathiTrust Record")</f>
        <v/>
      </c>
      <c r="AS859">
        <f>HYPERLINK("https://creighton-primo.hosted.exlibrisgroup.com/primo-explore/search?tab=default_tab&amp;search_scope=EVERYTHING&amp;vid=01CRU&amp;lang=en_US&amp;offset=0&amp;query=any,contains,991004170179702656","Catalog Record")</f>
        <v/>
      </c>
      <c r="AT859">
        <f>HYPERLINK("http://www.worldcat.org/oclc/2579442","WorldCat Record")</f>
        <v/>
      </c>
      <c r="AU859" t="inlineStr">
        <is>
          <t>133076407:eng</t>
        </is>
      </c>
      <c r="AV859" t="inlineStr">
        <is>
          <t>2579442</t>
        </is>
      </c>
      <c r="AW859" t="inlineStr">
        <is>
          <t>991004170179702656</t>
        </is>
      </c>
      <c r="AX859" t="inlineStr">
        <is>
          <t>991004170179702656</t>
        </is>
      </c>
      <c r="AY859" t="inlineStr">
        <is>
          <t>2257751780002656</t>
        </is>
      </c>
      <c r="AZ859" t="inlineStr">
        <is>
          <t>BOOK</t>
        </is>
      </c>
      <c r="BC859" t="inlineStr">
        <is>
          <t>32285001027001</t>
        </is>
      </c>
      <c r="BD859" t="inlineStr">
        <is>
          <t>893253334</t>
        </is>
      </c>
    </row>
    <row r="860">
      <c r="A860" t="inlineStr">
        <is>
          <t>No</t>
        </is>
      </c>
      <c r="B860" t="inlineStr">
        <is>
          <t>PL855 .K4</t>
        </is>
      </c>
      <c r="C860" t="inlineStr">
        <is>
          <t>0                      PL 0855000K  4</t>
        </is>
      </c>
      <c r="D860" t="inlineStr">
        <is>
          <t>Japanese literature : an introduction for Western readers.</t>
        </is>
      </c>
      <c r="F860" t="inlineStr">
        <is>
          <t>No</t>
        </is>
      </c>
      <c r="G860" t="inlineStr">
        <is>
          <t>1</t>
        </is>
      </c>
      <c r="H860" t="inlineStr">
        <is>
          <t>No</t>
        </is>
      </c>
      <c r="I860" t="inlineStr">
        <is>
          <t>Yes</t>
        </is>
      </c>
      <c r="J860" t="inlineStr">
        <is>
          <t>0</t>
        </is>
      </c>
      <c r="K860" t="inlineStr">
        <is>
          <t>Keene, Donald.</t>
        </is>
      </c>
      <c r="L860" t="inlineStr">
        <is>
          <t>London : J. Murray, [1953]</t>
        </is>
      </c>
      <c r="M860" t="inlineStr">
        <is>
          <t>1953</t>
        </is>
      </c>
      <c r="O860" t="inlineStr">
        <is>
          <t>eng</t>
        </is>
      </c>
      <c r="P860" t="inlineStr">
        <is>
          <t xml:space="preserve">xx </t>
        </is>
      </c>
      <c r="R860" t="inlineStr">
        <is>
          <t xml:space="preserve">PL </t>
        </is>
      </c>
      <c r="S860" t="n">
        <v>2</v>
      </c>
      <c r="T860" t="n">
        <v>2</v>
      </c>
      <c r="U860" t="inlineStr">
        <is>
          <t>2007-11-13</t>
        </is>
      </c>
      <c r="V860" t="inlineStr">
        <is>
          <t>2007-11-13</t>
        </is>
      </c>
      <c r="W860" t="inlineStr">
        <is>
          <t>1994-06-22</t>
        </is>
      </c>
      <c r="X860" t="inlineStr">
        <is>
          <t>1994-06-22</t>
        </is>
      </c>
      <c r="Y860" t="n">
        <v>169</v>
      </c>
      <c r="Z860" t="n">
        <v>130</v>
      </c>
      <c r="AA860" t="n">
        <v>1252</v>
      </c>
      <c r="AB860" t="n">
        <v>3</v>
      </c>
      <c r="AC860" t="n">
        <v>11</v>
      </c>
      <c r="AD860" t="n">
        <v>6</v>
      </c>
      <c r="AE860" t="n">
        <v>41</v>
      </c>
      <c r="AF860" t="n">
        <v>2</v>
      </c>
      <c r="AG860" t="n">
        <v>13</v>
      </c>
      <c r="AH860" t="n">
        <v>0</v>
      </c>
      <c r="AI860" t="n">
        <v>8</v>
      </c>
      <c r="AJ860" t="n">
        <v>3</v>
      </c>
      <c r="AK860" t="n">
        <v>18</v>
      </c>
      <c r="AL860" t="n">
        <v>2</v>
      </c>
      <c r="AM860" t="n">
        <v>9</v>
      </c>
      <c r="AN860" t="n">
        <v>0</v>
      </c>
      <c r="AO860" t="n">
        <v>0</v>
      </c>
      <c r="AP860" t="inlineStr">
        <is>
          <t>No</t>
        </is>
      </c>
      <c r="AQ860" t="inlineStr">
        <is>
          <t>Yes</t>
        </is>
      </c>
      <c r="AR860">
        <f>HYPERLINK("http://catalog.hathitrust.org/Record/001184902","HathiTrust Record")</f>
        <v/>
      </c>
      <c r="AS860">
        <f>HYPERLINK("https://creighton-primo.hosted.exlibrisgroup.com/primo-explore/search?tab=default_tab&amp;search_scope=EVERYTHING&amp;vid=01CRU&amp;lang=en_US&amp;offset=0&amp;query=any,contains,991003514159702656","Catalog Record")</f>
        <v/>
      </c>
      <c r="AT860">
        <f>HYPERLINK("http://www.worldcat.org/oclc/1070627","WorldCat Record")</f>
        <v/>
      </c>
      <c r="AU860" t="inlineStr">
        <is>
          <t>3344523022:eng</t>
        </is>
      </c>
      <c r="AV860" t="inlineStr">
        <is>
          <t>1070627</t>
        </is>
      </c>
      <c r="AW860" t="inlineStr">
        <is>
          <t>991003514159702656</t>
        </is>
      </c>
      <c r="AX860" t="inlineStr">
        <is>
          <t>991003514159702656</t>
        </is>
      </c>
      <c r="AY860" t="inlineStr">
        <is>
          <t>2255908330002656</t>
        </is>
      </c>
      <c r="AZ860" t="inlineStr">
        <is>
          <t>BOOK</t>
        </is>
      </c>
      <c r="BC860" t="inlineStr">
        <is>
          <t>32285001929420</t>
        </is>
      </c>
      <c r="BD860" t="inlineStr">
        <is>
          <t>893535491</t>
        </is>
      </c>
    </row>
    <row r="861">
      <c r="A861" t="inlineStr">
        <is>
          <t>No</t>
        </is>
      </c>
      <c r="B861" t="inlineStr">
        <is>
          <t>PL855 .K4 1977</t>
        </is>
      </c>
      <c r="C861" t="inlineStr">
        <is>
          <t>0                      PL 0855000K  4           1977</t>
        </is>
      </c>
      <c r="D861" t="inlineStr">
        <is>
          <t>Japanese literature : an introduction for Western readers / by Donald Keene.</t>
        </is>
      </c>
      <c r="F861" t="inlineStr">
        <is>
          <t>No</t>
        </is>
      </c>
      <c r="G861" t="inlineStr">
        <is>
          <t>1</t>
        </is>
      </c>
      <c r="H861" t="inlineStr">
        <is>
          <t>No</t>
        </is>
      </c>
      <c r="I861" t="inlineStr">
        <is>
          <t>Yes</t>
        </is>
      </c>
      <c r="J861" t="inlineStr">
        <is>
          <t>0</t>
        </is>
      </c>
      <c r="K861" t="inlineStr">
        <is>
          <t>Keene, Donald.</t>
        </is>
      </c>
      <c r="L861" t="inlineStr">
        <is>
          <t>Tokyo, Charles E. Tuttle Co., 1977, 1981 printing.</t>
        </is>
      </c>
      <c r="M861" t="inlineStr">
        <is>
          <t>1977</t>
        </is>
      </c>
      <c r="O861" t="inlineStr">
        <is>
          <t>eng</t>
        </is>
      </c>
      <c r="P861" t="inlineStr">
        <is>
          <t xml:space="preserve">ja </t>
        </is>
      </c>
      <c r="R861" t="inlineStr">
        <is>
          <t xml:space="preserve">PL </t>
        </is>
      </c>
      <c r="S861" t="n">
        <v>11</v>
      </c>
      <c r="T861" t="n">
        <v>11</v>
      </c>
      <c r="U861" t="inlineStr">
        <is>
          <t>2006-03-25</t>
        </is>
      </c>
      <c r="V861" t="inlineStr">
        <is>
          <t>2006-03-25</t>
        </is>
      </c>
      <c r="W861" t="inlineStr">
        <is>
          <t>1992-02-17</t>
        </is>
      </c>
      <c r="X861" t="inlineStr">
        <is>
          <t>1992-02-17</t>
        </is>
      </c>
      <c r="Y861" t="n">
        <v>54</v>
      </c>
      <c r="Z861" t="n">
        <v>30</v>
      </c>
      <c r="AA861" t="n">
        <v>1252</v>
      </c>
      <c r="AB861" t="n">
        <v>1</v>
      </c>
      <c r="AC861" t="n">
        <v>11</v>
      </c>
      <c r="AD861" t="n">
        <v>0</v>
      </c>
      <c r="AE861" t="n">
        <v>41</v>
      </c>
      <c r="AF861" t="n">
        <v>0</v>
      </c>
      <c r="AG861" t="n">
        <v>13</v>
      </c>
      <c r="AH861" t="n">
        <v>0</v>
      </c>
      <c r="AI861" t="n">
        <v>8</v>
      </c>
      <c r="AJ861" t="n">
        <v>0</v>
      </c>
      <c r="AK861" t="n">
        <v>18</v>
      </c>
      <c r="AL861" t="n">
        <v>0</v>
      </c>
      <c r="AM861" t="n">
        <v>9</v>
      </c>
      <c r="AN861" t="n">
        <v>0</v>
      </c>
      <c r="AO861" t="n">
        <v>0</v>
      </c>
      <c r="AP861" t="inlineStr">
        <is>
          <t>No</t>
        </is>
      </c>
      <c r="AQ861" t="inlineStr">
        <is>
          <t>No</t>
        </is>
      </c>
      <c r="AS861">
        <f>HYPERLINK("https://creighton-primo.hosted.exlibrisgroup.com/primo-explore/search?tab=default_tab&amp;search_scope=EVERYTHING&amp;vid=01CRU&amp;lang=en_US&amp;offset=0&amp;query=any,contains,991004772829702656","Catalog Record")</f>
        <v/>
      </c>
      <c r="AT861">
        <f>HYPERLINK("http://www.worldcat.org/oclc/5087592","WorldCat Record")</f>
        <v/>
      </c>
      <c r="AU861" t="inlineStr">
        <is>
          <t>3344523022:eng</t>
        </is>
      </c>
      <c r="AV861" t="inlineStr">
        <is>
          <t>5087592</t>
        </is>
      </c>
      <c r="AW861" t="inlineStr">
        <is>
          <t>991004772829702656</t>
        </is>
      </c>
      <c r="AX861" t="inlineStr">
        <is>
          <t>991004772829702656</t>
        </is>
      </c>
      <c r="AY861" t="inlineStr">
        <is>
          <t>2260195180002656</t>
        </is>
      </c>
      <c r="AZ861" t="inlineStr">
        <is>
          <t>BOOK</t>
        </is>
      </c>
      <c r="BC861" t="inlineStr">
        <is>
          <t>32285000970789</t>
        </is>
      </c>
      <c r="BD861" t="inlineStr">
        <is>
          <t>893870098</t>
        </is>
      </c>
    </row>
    <row r="862">
      <c r="A862" t="inlineStr">
        <is>
          <t>No</t>
        </is>
      </c>
      <c r="B862" t="inlineStr">
        <is>
          <t>PL855.U6 A26 1998</t>
        </is>
      </c>
      <c r="C862" t="inlineStr">
        <is>
          <t>0                      PL 0855000U  6                  A  26          1998</t>
        </is>
      </c>
      <c r="D862" t="inlineStr">
        <is>
          <t>The woman with the flying head and other stories / by Kurahashi Yumiko ; translated by Atsuko Sakaki.</t>
        </is>
      </c>
      <c r="F862" t="inlineStr">
        <is>
          <t>No</t>
        </is>
      </c>
      <c r="G862" t="inlineStr">
        <is>
          <t>1</t>
        </is>
      </c>
      <c r="H862" t="inlineStr">
        <is>
          <t>No</t>
        </is>
      </c>
      <c r="I862" t="inlineStr">
        <is>
          <t>No</t>
        </is>
      </c>
      <c r="J862" t="inlineStr">
        <is>
          <t>0</t>
        </is>
      </c>
      <c r="K862" t="inlineStr">
        <is>
          <t>Kurahashi, Yumiko, 1935-2005.</t>
        </is>
      </c>
      <c r="L862" t="inlineStr">
        <is>
          <t>Armonk, N.Y. : M.E. Sharpe, c1998.</t>
        </is>
      </c>
      <c r="M862" t="inlineStr">
        <is>
          <t>1998</t>
        </is>
      </c>
      <c r="O862" t="inlineStr">
        <is>
          <t>eng</t>
        </is>
      </c>
      <c r="P862" t="inlineStr">
        <is>
          <t>nyu</t>
        </is>
      </c>
      <c r="Q862" t="inlineStr">
        <is>
          <t>Japanese women writing</t>
        </is>
      </c>
      <c r="R862" t="inlineStr">
        <is>
          <t xml:space="preserve">PL </t>
        </is>
      </c>
      <c r="S862" t="n">
        <v>6</v>
      </c>
      <c r="T862" t="n">
        <v>6</v>
      </c>
      <c r="U862" t="inlineStr">
        <is>
          <t>2000-01-05</t>
        </is>
      </c>
      <c r="V862" t="inlineStr">
        <is>
          <t>2000-01-05</t>
        </is>
      </c>
      <c r="W862" t="inlineStr">
        <is>
          <t>1999-05-04</t>
        </is>
      </c>
      <c r="X862" t="inlineStr">
        <is>
          <t>1999-05-04</t>
        </is>
      </c>
      <c r="Y862" t="n">
        <v>314</v>
      </c>
      <c r="Z862" t="n">
        <v>269</v>
      </c>
      <c r="AA862" t="n">
        <v>1163</v>
      </c>
      <c r="AB862" t="n">
        <v>2</v>
      </c>
      <c r="AC862" t="n">
        <v>5</v>
      </c>
      <c r="AD862" t="n">
        <v>13</v>
      </c>
      <c r="AE862" t="n">
        <v>25</v>
      </c>
      <c r="AF862" t="n">
        <v>6</v>
      </c>
      <c r="AG862" t="n">
        <v>13</v>
      </c>
      <c r="AH862" t="n">
        <v>4</v>
      </c>
      <c r="AI862" t="n">
        <v>6</v>
      </c>
      <c r="AJ862" t="n">
        <v>7</v>
      </c>
      <c r="AK862" t="n">
        <v>11</v>
      </c>
      <c r="AL862" t="n">
        <v>1</v>
      </c>
      <c r="AM862" t="n">
        <v>4</v>
      </c>
      <c r="AN862" t="n">
        <v>0</v>
      </c>
      <c r="AO862" t="n">
        <v>0</v>
      </c>
      <c r="AP862" t="inlineStr">
        <is>
          <t>No</t>
        </is>
      </c>
      <c r="AQ862" t="inlineStr">
        <is>
          <t>Yes</t>
        </is>
      </c>
      <c r="AR862">
        <f>HYPERLINK("http://catalog.hathitrust.org/Record/003970530","HathiTrust Record")</f>
        <v/>
      </c>
      <c r="AS862">
        <f>HYPERLINK("https://creighton-primo.hosted.exlibrisgroup.com/primo-explore/search?tab=default_tab&amp;search_scope=EVERYTHING&amp;vid=01CRU&amp;lang=en_US&amp;offset=0&amp;query=any,contains,991002806179702656","Catalog Record")</f>
        <v/>
      </c>
      <c r="AT862">
        <f>HYPERLINK("http://www.worldcat.org/oclc/36865658","WorldCat Record")</f>
        <v/>
      </c>
      <c r="AU862" t="inlineStr">
        <is>
          <t>137660538:eng</t>
        </is>
      </c>
      <c r="AV862" t="inlineStr">
        <is>
          <t>36865658</t>
        </is>
      </c>
      <c r="AW862" t="inlineStr">
        <is>
          <t>991002806179702656</t>
        </is>
      </c>
      <c r="AX862" t="inlineStr">
        <is>
          <t>991002806179702656</t>
        </is>
      </c>
      <c r="AY862" t="inlineStr">
        <is>
          <t>2262223020002656</t>
        </is>
      </c>
      <c r="AZ862" t="inlineStr">
        <is>
          <t>BOOK</t>
        </is>
      </c>
      <c r="BB862" t="inlineStr">
        <is>
          <t>9780765601575</t>
        </is>
      </c>
      <c r="BC862" t="inlineStr">
        <is>
          <t>32285003558433</t>
        </is>
      </c>
      <c r="BD862" t="inlineStr">
        <is>
          <t>893335746</t>
        </is>
      </c>
    </row>
    <row r="863">
      <c r="A863" t="inlineStr">
        <is>
          <t>No</t>
        </is>
      </c>
      <c r="B863" t="inlineStr">
        <is>
          <t>PL856.A66 O5613 1995</t>
        </is>
      </c>
      <c r="C863" t="inlineStr">
        <is>
          <t>0                      PL 0856000A  66                 O  5613        1995</t>
        </is>
      </c>
      <c r="D863" t="inlineStr">
        <is>
          <t>A mature woman / Saiichi Maruya ; translated by Dennis Keene.</t>
        </is>
      </c>
      <c r="F863" t="inlineStr">
        <is>
          <t>No</t>
        </is>
      </c>
      <c r="G863" t="inlineStr">
        <is>
          <t>1</t>
        </is>
      </c>
      <c r="H863" t="inlineStr">
        <is>
          <t>No</t>
        </is>
      </c>
      <c r="I863" t="inlineStr">
        <is>
          <t>No</t>
        </is>
      </c>
      <c r="J863" t="inlineStr">
        <is>
          <t>0</t>
        </is>
      </c>
      <c r="K863" t="inlineStr">
        <is>
          <t>Maruya, Saiichi, 1925-2012.</t>
        </is>
      </c>
      <c r="L863" t="inlineStr">
        <is>
          <t>Tokyo : Kodansha ; New York : distributed in the United States by Kodansha America, 1995.</t>
        </is>
      </c>
      <c r="M863" t="inlineStr">
        <is>
          <t>1995</t>
        </is>
      </c>
      <c r="N863" t="inlineStr">
        <is>
          <t>1st ed.</t>
        </is>
      </c>
      <c r="O863" t="inlineStr">
        <is>
          <t>eng</t>
        </is>
      </c>
      <c r="P863" t="inlineStr">
        <is>
          <t xml:space="preserve">ja </t>
        </is>
      </c>
      <c r="R863" t="inlineStr">
        <is>
          <t xml:space="preserve">PL </t>
        </is>
      </c>
      <c r="S863" t="n">
        <v>2</v>
      </c>
      <c r="T863" t="n">
        <v>2</v>
      </c>
      <c r="U863" t="inlineStr">
        <is>
          <t>2010-03-29</t>
        </is>
      </c>
      <c r="V863" t="inlineStr">
        <is>
          <t>2010-03-29</t>
        </is>
      </c>
      <c r="W863" t="inlineStr">
        <is>
          <t>2002-11-19</t>
        </is>
      </c>
      <c r="X863" t="inlineStr">
        <is>
          <t>2002-11-19</t>
        </is>
      </c>
      <c r="Y863" t="n">
        <v>173</v>
      </c>
      <c r="Z863" t="n">
        <v>136</v>
      </c>
      <c r="AA863" t="n">
        <v>165</v>
      </c>
      <c r="AB863" t="n">
        <v>3</v>
      </c>
      <c r="AC863" t="n">
        <v>3</v>
      </c>
      <c r="AD863" t="n">
        <v>7</v>
      </c>
      <c r="AE863" t="n">
        <v>7</v>
      </c>
      <c r="AF863" t="n">
        <v>1</v>
      </c>
      <c r="AG863" t="n">
        <v>1</v>
      </c>
      <c r="AH863" t="n">
        <v>2</v>
      </c>
      <c r="AI863" t="n">
        <v>2</v>
      </c>
      <c r="AJ863" t="n">
        <v>4</v>
      </c>
      <c r="AK863" t="n">
        <v>4</v>
      </c>
      <c r="AL863" t="n">
        <v>2</v>
      </c>
      <c r="AM863" t="n">
        <v>2</v>
      </c>
      <c r="AN863" t="n">
        <v>0</v>
      </c>
      <c r="AO863" t="n">
        <v>0</v>
      </c>
      <c r="AP863" t="inlineStr">
        <is>
          <t>No</t>
        </is>
      </c>
      <c r="AQ863" t="inlineStr">
        <is>
          <t>Yes</t>
        </is>
      </c>
      <c r="AR863">
        <f>HYPERLINK("http://catalog.hathitrust.org/Record/007130986","HathiTrust Record")</f>
        <v/>
      </c>
      <c r="AS863">
        <f>HYPERLINK("https://creighton-primo.hosted.exlibrisgroup.com/primo-explore/search?tab=default_tab&amp;search_scope=EVERYTHING&amp;vid=01CRU&amp;lang=en_US&amp;offset=0&amp;query=any,contains,991003946749702656","Catalog Record")</f>
        <v/>
      </c>
      <c r="AT863">
        <f>HYPERLINK("http://www.worldcat.org/oclc/33054365","WorldCat Record")</f>
        <v/>
      </c>
      <c r="AU863" t="inlineStr">
        <is>
          <t>4141014309:eng</t>
        </is>
      </c>
      <c r="AV863" t="inlineStr">
        <is>
          <t>33054365</t>
        </is>
      </c>
      <c r="AW863" t="inlineStr">
        <is>
          <t>991003946749702656</t>
        </is>
      </c>
      <c r="AX863" t="inlineStr">
        <is>
          <t>991003946749702656</t>
        </is>
      </c>
      <c r="AY863" t="inlineStr">
        <is>
          <t>2270674730002656</t>
        </is>
      </c>
      <c r="AZ863" t="inlineStr">
        <is>
          <t>BOOK</t>
        </is>
      </c>
      <c r="BB863" t="inlineStr">
        <is>
          <t>9784770018649</t>
        </is>
      </c>
      <c r="BC863" t="inlineStr">
        <is>
          <t>32285004664651</t>
        </is>
      </c>
      <c r="BD863" t="inlineStr">
        <is>
          <t>893253053</t>
        </is>
      </c>
    </row>
    <row r="864">
      <c r="A864" t="inlineStr">
        <is>
          <t>No</t>
        </is>
      </c>
      <c r="B864" t="inlineStr">
        <is>
          <t>PL856.A66 T313 1990</t>
        </is>
      </c>
      <c r="C864" t="inlineStr">
        <is>
          <t>0                      PL 0856000A  66                 T  313         1990</t>
        </is>
      </c>
      <c r="D864" t="inlineStr">
        <is>
          <t>Singular rebellion / Saiichi Maruya ; translated by Dennis Keene.</t>
        </is>
      </c>
      <c r="F864" t="inlineStr">
        <is>
          <t>No</t>
        </is>
      </c>
      <c r="G864" t="inlineStr">
        <is>
          <t>1</t>
        </is>
      </c>
      <c r="H864" t="inlineStr">
        <is>
          <t>No</t>
        </is>
      </c>
      <c r="I864" t="inlineStr">
        <is>
          <t>No</t>
        </is>
      </c>
      <c r="J864" t="inlineStr">
        <is>
          <t>0</t>
        </is>
      </c>
      <c r="K864" t="inlineStr">
        <is>
          <t>Maruya, Saiichi, 1925-2012.</t>
        </is>
      </c>
      <c r="L864" t="inlineStr">
        <is>
          <t>Tokyo ; New York : Kodansha International, 1990, c1986.</t>
        </is>
      </c>
      <c r="M864" t="inlineStr">
        <is>
          <t>1990</t>
        </is>
      </c>
      <c r="N864" t="inlineStr">
        <is>
          <t>1st paperback ed.</t>
        </is>
      </c>
      <c r="O864" t="inlineStr">
        <is>
          <t>eng</t>
        </is>
      </c>
      <c r="P864" t="inlineStr">
        <is>
          <t xml:space="preserve">ja </t>
        </is>
      </c>
      <c r="R864" t="inlineStr">
        <is>
          <t xml:space="preserve">PL </t>
        </is>
      </c>
      <c r="S864" t="n">
        <v>3</v>
      </c>
      <c r="T864" t="n">
        <v>3</v>
      </c>
      <c r="U864" t="inlineStr">
        <is>
          <t>2010-03-29</t>
        </is>
      </c>
      <c r="V864" t="inlineStr">
        <is>
          <t>2010-03-29</t>
        </is>
      </c>
      <c r="W864" t="inlineStr">
        <is>
          <t>2002-11-19</t>
        </is>
      </c>
      <c r="X864" t="inlineStr">
        <is>
          <t>2002-11-19</t>
        </is>
      </c>
      <c r="Y864" t="n">
        <v>80</v>
      </c>
      <c r="Z864" t="n">
        <v>61</v>
      </c>
      <c r="AA864" t="n">
        <v>334</v>
      </c>
      <c r="AB864" t="n">
        <v>2</v>
      </c>
      <c r="AC864" t="n">
        <v>2</v>
      </c>
      <c r="AD864" t="n">
        <v>5</v>
      </c>
      <c r="AE864" t="n">
        <v>14</v>
      </c>
      <c r="AF864" t="n">
        <v>2</v>
      </c>
      <c r="AG864" t="n">
        <v>5</v>
      </c>
      <c r="AH864" t="n">
        <v>1</v>
      </c>
      <c r="AI864" t="n">
        <v>4</v>
      </c>
      <c r="AJ864" t="n">
        <v>4</v>
      </c>
      <c r="AK864" t="n">
        <v>11</v>
      </c>
      <c r="AL864" t="n">
        <v>1</v>
      </c>
      <c r="AM864" t="n">
        <v>1</v>
      </c>
      <c r="AN864" t="n">
        <v>0</v>
      </c>
      <c r="AO864" t="n">
        <v>0</v>
      </c>
      <c r="AP864" t="inlineStr">
        <is>
          <t>No</t>
        </is>
      </c>
      <c r="AQ864" t="inlineStr">
        <is>
          <t>No</t>
        </is>
      </c>
      <c r="AS864">
        <f>HYPERLINK("https://creighton-primo.hosted.exlibrisgroup.com/primo-explore/search?tab=default_tab&amp;search_scope=EVERYTHING&amp;vid=01CRU&amp;lang=en_US&amp;offset=0&amp;query=any,contains,991003947309702656","Catalog Record")</f>
        <v/>
      </c>
      <c r="AT864">
        <f>HYPERLINK("http://www.worldcat.org/oclc/22637256","WorldCat Record")</f>
        <v/>
      </c>
      <c r="AU864" t="inlineStr">
        <is>
          <t>503233064:eng</t>
        </is>
      </c>
      <c r="AV864" t="inlineStr">
        <is>
          <t>22637256</t>
        </is>
      </c>
      <c r="AW864" t="inlineStr">
        <is>
          <t>991003947309702656</t>
        </is>
      </c>
      <c r="AX864" t="inlineStr">
        <is>
          <t>991003947309702656</t>
        </is>
      </c>
      <c r="AY864" t="inlineStr">
        <is>
          <t>2270885460002656</t>
        </is>
      </c>
      <c r="AZ864" t="inlineStr">
        <is>
          <t>BOOK</t>
        </is>
      </c>
      <c r="BB864" t="inlineStr">
        <is>
          <t>9780870119897</t>
        </is>
      </c>
      <c r="BC864" t="inlineStr">
        <is>
          <t>32285004664818</t>
        </is>
      </c>
      <c r="BD864" t="inlineStr">
        <is>
          <t>893722185</t>
        </is>
      </c>
    </row>
    <row r="865">
      <c r="A865" t="inlineStr">
        <is>
          <t>No</t>
        </is>
      </c>
      <c r="B865" t="inlineStr">
        <is>
          <t>PL856.U673 A23 2006</t>
        </is>
      </c>
      <c r="C865" t="inlineStr">
        <is>
          <t>0                      PL 0856000U  673                A  23          2006</t>
        </is>
      </c>
      <c r="D865" t="inlineStr">
        <is>
          <t>Blind window, sleeping woman : twenty-four stories / Haruki Murakami ; translated from the Japanese by Philip Gabriel and Jay Rubin.</t>
        </is>
      </c>
      <c r="F865" t="inlineStr">
        <is>
          <t>No</t>
        </is>
      </c>
      <c r="G865" t="inlineStr">
        <is>
          <t>1</t>
        </is>
      </c>
      <c r="H865" t="inlineStr">
        <is>
          <t>No</t>
        </is>
      </c>
      <c r="I865" t="inlineStr">
        <is>
          <t>Yes</t>
        </is>
      </c>
      <c r="J865" t="inlineStr">
        <is>
          <t>0</t>
        </is>
      </c>
      <c r="K865" t="inlineStr">
        <is>
          <t>Murakami, Haruki, 1949-</t>
        </is>
      </c>
      <c r="L865" t="inlineStr">
        <is>
          <t>New York : Knopf, 2006.</t>
        </is>
      </c>
      <c r="M865" t="inlineStr">
        <is>
          <t>2006</t>
        </is>
      </c>
      <c r="N865" t="inlineStr">
        <is>
          <t>1st ed., [English ed.].</t>
        </is>
      </c>
      <c r="O865" t="inlineStr">
        <is>
          <t>eng</t>
        </is>
      </c>
      <c r="P865" t="inlineStr">
        <is>
          <t>nyu</t>
        </is>
      </c>
      <c r="R865" t="inlineStr">
        <is>
          <t xml:space="preserve">PL </t>
        </is>
      </c>
      <c r="S865" t="n">
        <v>7</v>
      </c>
      <c r="T865" t="n">
        <v>7</v>
      </c>
      <c r="U865" t="inlineStr">
        <is>
          <t>2007-06-25</t>
        </is>
      </c>
      <c r="V865" t="inlineStr">
        <is>
          <t>2007-06-25</t>
        </is>
      </c>
      <c r="W865" t="inlineStr">
        <is>
          <t>2006-09-05</t>
        </is>
      </c>
      <c r="X865" t="inlineStr">
        <is>
          <t>2006-09-05</t>
        </is>
      </c>
      <c r="Y865" t="n">
        <v>1284</v>
      </c>
      <c r="Z865" t="n">
        <v>1202</v>
      </c>
      <c r="AA865" t="n">
        <v>1382</v>
      </c>
      <c r="AB865" t="n">
        <v>8</v>
      </c>
      <c r="AC865" t="n">
        <v>8</v>
      </c>
      <c r="AD865" t="n">
        <v>23</v>
      </c>
      <c r="AE865" t="n">
        <v>25</v>
      </c>
      <c r="AF865" t="n">
        <v>9</v>
      </c>
      <c r="AG865" t="n">
        <v>10</v>
      </c>
      <c r="AH865" t="n">
        <v>5</v>
      </c>
      <c r="AI865" t="n">
        <v>5</v>
      </c>
      <c r="AJ865" t="n">
        <v>11</v>
      </c>
      <c r="AK865" t="n">
        <v>12</v>
      </c>
      <c r="AL865" t="n">
        <v>4</v>
      </c>
      <c r="AM865" t="n">
        <v>4</v>
      </c>
      <c r="AN865" t="n">
        <v>0</v>
      </c>
      <c r="AO865" t="n">
        <v>0</v>
      </c>
      <c r="AP865" t="inlineStr">
        <is>
          <t>No</t>
        </is>
      </c>
      <c r="AQ865" t="inlineStr">
        <is>
          <t>Yes</t>
        </is>
      </c>
      <c r="AR865">
        <f>HYPERLINK("http://catalog.hathitrust.org/Record/005261853","HathiTrust Record")</f>
        <v/>
      </c>
      <c r="AS865">
        <f>HYPERLINK("https://creighton-primo.hosted.exlibrisgroup.com/primo-explore/search?tab=default_tab&amp;search_scope=EVERYTHING&amp;vid=01CRU&amp;lang=en_US&amp;offset=0&amp;query=any,contains,991004850569702656","Catalog Record")</f>
        <v/>
      </c>
      <c r="AT865">
        <f>HYPERLINK("http://www.worldcat.org/oclc/61461796","WorldCat Record")</f>
        <v/>
      </c>
      <c r="AU865" t="inlineStr">
        <is>
          <t>49054361:eng</t>
        </is>
      </c>
      <c r="AV865" t="inlineStr">
        <is>
          <t>61461796</t>
        </is>
      </c>
      <c r="AW865" t="inlineStr">
        <is>
          <t>991004850569702656</t>
        </is>
      </c>
      <c r="AX865" t="inlineStr">
        <is>
          <t>991004850569702656</t>
        </is>
      </c>
      <c r="AY865" t="inlineStr">
        <is>
          <t>2269304270002656</t>
        </is>
      </c>
      <c r="AZ865" t="inlineStr">
        <is>
          <t>BOOK</t>
        </is>
      </c>
      <c r="BB865" t="inlineStr">
        <is>
          <t>9781400044610</t>
        </is>
      </c>
      <c r="BC865" t="inlineStr">
        <is>
          <t>32285005221659</t>
        </is>
      </c>
      <c r="BD865" t="inlineStr">
        <is>
          <t>893719479</t>
        </is>
      </c>
    </row>
    <row r="866">
      <c r="A866" t="inlineStr">
        <is>
          <t>No</t>
        </is>
      </c>
      <c r="B866" t="inlineStr">
        <is>
          <t>PL858.E14 A613 1995</t>
        </is>
      </c>
      <c r="C866" t="inlineStr">
        <is>
          <t>0                      PL 0858000E  14                 A  613         1995</t>
        </is>
      </c>
      <c r="D866" t="inlineStr">
        <is>
          <t>Japan, the ambiguous, and myself : the Nobel Prize speech and other lectures / Kenzaburo Oe.</t>
        </is>
      </c>
      <c r="F866" t="inlineStr">
        <is>
          <t>No</t>
        </is>
      </c>
      <c r="G866" t="inlineStr">
        <is>
          <t>1</t>
        </is>
      </c>
      <c r="H866" t="inlineStr">
        <is>
          <t>No</t>
        </is>
      </c>
      <c r="I866" t="inlineStr">
        <is>
          <t>No</t>
        </is>
      </c>
      <c r="J866" t="inlineStr">
        <is>
          <t>0</t>
        </is>
      </c>
      <c r="K866" t="inlineStr">
        <is>
          <t>Ōe, Kenzaburō, 1935-</t>
        </is>
      </c>
      <c r="L866" t="inlineStr">
        <is>
          <t>New York : Kodansha International, 1995.</t>
        </is>
      </c>
      <c r="M866" t="inlineStr">
        <is>
          <t>1995</t>
        </is>
      </c>
      <c r="N866" t="inlineStr">
        <is>
          <t>1st ed.</t>
        </is>
      </c>
      <c r="O866" t="inlineStr">
        <is>
          <t>eng</t>
        </is>
      </c>
      <c r="P866" t="inlineStr">
        <is>
          <t>nyu</t>
        </is>
      </c>
      <c r="R866" t="inlineStr">
        <is>
          <t xml:space="preserve">PL </t>
        </is>
      </c>
      <c r="S866" t="n">
        <v>3</v>
      </c>
      <c r="T866" t="n">
        <v>3</v>
      </c>
      <c r="U866" t="inlineStr">
        <is>
          <t>2008-04-04</t>
        </is>
      </c>
      <c r="V866" t="inlineStr">
        <is>
          <t>2008-04-04</t>
        </is>
      </c>
      <c r="W866" t="inlineStr">
        <is>
          <t>1996-03-27</t>
        </is>
      </c>
      <c r="X866" t="inlineStr">
        <is>
          <t>1996-03-27</t>
        </is>
      </c>
      <c r="Y866" t="n">
        <v>407</v>
      </c>
      <c r="Z866" t="n">
        <v>315</v>
      </c>
      <c r="AA866" t="n">
        <v>323</v>
      </c>
      <c r="AB866" t="n">
        <v>4</v>
      </c>
      <c r="AC866" t="n">
        <v>4</v>
      </c>
      <c r="AD866" t="n">
        <v>20</v>
      </c>
      <c r="AE866" t="n">
        <v>20</v>
      </c>
      <c r="AF866" t="n">
        <v>7</v>
      </c>
      <c r="AG866" t="n">
        <v>7</v>
      </c>
      <c r="AH866" t="n">
        <v>6</v>
      </c>
      <c r="AI866" t="n">
        <v>6</v>
      </c>
      <c r="AJ866" t="n">
        <v>12</v>
      </c>
      <c r="AK866" t="n">
        <v>12</v>
      </c>
      <c r="AL866" t="n">
        <v>2</v>
      </c>
      <c r="AM866" t="n">
        <v>2</v>
      </c>
      <c r="AN866" t="n">
        <v>0</v>
      </c>
      <c r="AO866" t="n">
        <v>0</v>
      </c>
      <c r="AP866" t="inlineStr">
        <is>
          <t>No</t>
        </is>
      </c>
      <c r="AQ866" t="inlineStr">
        <is>
          <t>Yes</t>
        </is>
      </c>
      <c r="AR866">
        <f>HYPERLINK("http://catalog.hathitrust.org/Record/002993511","HathiTrust Record")</f>
        <v/>
      </c>
      <c r="AS866">
        <f>HYPERLINK("https://creighton-primo.hosted.exlibrisgroup.com/primo-explore/search?tab=default_tab&amp;search_scope=EVERYTHING&amp;vid=01CRU&amp;lang=en_US&amp;offset=0&amp;query=any,contains,991002493699702656","Catalog Record")</f>
        <v/>
      </c>
      <c r="AT866">
        <f>HYPERLINK("http://www.worldcat.org/oclc/32447745","WorldCat Record")</f>
        <v/>
      </c>
      <c r="AU866" t="inlineStr">
        <is>
          <t>56035727:eng</t>
        </is>
      </c>
      <c r="AV866" t="inlineStr">
        <is>
          <t>32447745</t>
        </is>
      </c>
      <c r="AW866" t="inlineStr">
        <is>
          <t>991002493699702656</t>
        </is>
      </c>
      <c r="AX866" t="inlineStr">
        <is>
          <t>991002493699702656</t>
        </is>
      </c>
      <c r="AY866" t="inlineStr">
        <is>
          <t>2257454410002656</t>
        </is>
      </c>
      <c r="AZ866" t="inlineStr">
        <is>
          <t>BOOK</t>
        </is>
      </c>
      <c r="BB866" t="inlineStr">
        <is>
          <t>9784770019806</t>
        </is>
      </c>
      <c r="BC866" t="inlineStr">
        <is>
          <t>32285002147600</t>
        </is>
      </c>
      <c r="BD866" t="inlineStr">
        <is>
          <t>893627151</t>
        </is>
      </c>
    </row>
    <row r="867">
      <c r="A867" t="inlineStr">
        <is>
          <t>No</t>
        </is>
      </c>
      <c r="B867" t="inlineStr">
        <is>
          <t>PL858.E14 J5513 1996</t>
        </is>
      </c>
      <c r="C867" t="inlineStr">
        <is>
          <t>0                      PL 0858000E  14                 J  5513        1996</t>
        </is>
      </c>
      <c r="D867" t="inlineStr">
        <is>
          <t>An echo of heaven / Kenzaburō Ōe ; translated by Margaret Mitsutani.</t>
        </is>
      </c>
      <c r="F867" t="inlineStr">
        <is>
          <t>No</t>
        </is>
      </c>
      <c r="G867" t="inlineStr">
        <is>
          <t>1</t>
        </is>
      </c>
      <c r="H867" t="inlineStr">
        <is>
          <t>No</t>
        </is>
      </c>
      <c r="I867" t="inlineStr">
        <is>
          <t>No</t>
        </is>
      </c>
      <c r="J867" t="inlineStr">
        <is>
          <t>0</t>
        </is>
      </c>
      <c r="K867" t="inlineStr">
        <is>
          <t>Ōe, Kenzaburō, 1935-</t>
        </is>
      </c>
      <c r="L867" t="inlineStr">
        <is>
          <t>Tokyo ; New York : Kodansha International, 1996.</t>
        </is>
      </c>
      <c r="M867" t="inlineStr">
        <is>
          <t>1996</t>
        </is>
      </c>
      <c r="N867" t="inlineStr">
        <is>
          <t>1st ed.</t>
        </is>
      </c>
      <c r="O867" t="inlineStr">
        <is>
          <t>eng</t>
        </is>
      </c>
      <c r="P867" t="inlineStr">
        <is>
          <t xml:space="preserve">ja </t>
        </is>
      </c>
      <c r="R867" t="inlineStr">
        <is>
          <t xml:space="preserve">PL </t>
        </is>
      </c>
      <c r="S867" t="n">
        <v>2</v>
      </c>
      <c r="T867" t="n">
        <v>2</v>
      </c>
      <c r="U867" t="inlineStr">
        <is>
          <t>2000-12-19</t>
        </is>
      </c>
      <c r="V867" t="inlineStr">
        <is>
          <t>2000-12-19</t>
        </is>
      </c>
      <c r="W867" t="inlineStr">
        <is>
          <t>1996-06-05</t>
        </is>
      </c>
      <c r="X867" t="inlineStr">
        <is>
          <t>1996-06-05</t>
        </is>
      </c>
      <c r="Y867" t="n">
        <v>816</v>
      </c>
      <c r="Z867" t="n">
        <v>728</v>
      </c>
      <c r="AA867" t="n">
        <v>781</v>
      </c>
      <c r="AB867" t="n">
        <v>7</v>
      </c>
      <c r="AC867" t="n">
        <v>7</v>
      </c>
      <c r="AD867" t="n">
        <v>27</v>
      </c>
      <c r="AE867" t="n">
        <v>27</v>
      </c>
      <c r="AF867" t="n">
        <v>8</v>
      </c>
      <c r="AG867" t="n">
        <v>8</v>
      </c>
      <c r="AH867" t="n">
        <v>7</v>
      </c>
      <c r="AI867" t="n">
        <v>7</v>
      </c>
      <c r="AJ867" t="n">
        <v>14</v>
      </c>
      <c r="AK867" t="n">
        <v>14</v>
      </c>
      <c r="AL867" t="n">
        <v>6</v>
      </c>
      <c r="AM867" t="n">
        <v>6</v>
      </c>
      <c r="AN867" t="n">
        <v>0</v>
      </c>
      <c r="AO867" t="n">
        <v>0</v>
      </c>
      <c r="AP867" t="inlineStr">
        <is>
          <t>No</t>
        </is>
      </c>
      <c r="AQ867" t="inlineStr">
        <is>
          <t>Yes</t>
        </is>
      </c>
      <c r="AR867">
        <f>HYPERLINK("http://catalog.hathitrust.org/Record/007131779","HathiTrust Record")</f>
        <v/>
      </c>
      <c r="AS867">
        <f>HYPERLINK("https://creighton-primo.hosted.exlibrisgroup.com/primo-explore/search?tab=default_tab&amp;search_scope=EVERYTHING&amp;vid=01CRU&amp;lang=en_US&amp;offset=0&amp;query=any,contains,991002620849702656","Catalog Record")</f>
        <v/>
      </c>
      <c r="AT867">
        <f>HYPERLINK("http://www.worldcat.org/oclc/34351359","WorldCat Record")</f>
        <v/>
      </c>
      <c r="AU867" t="inlineStr">
        <is>
          <t>1043668748:eng</t>
        </is>
      </c>
      <c r="AV867" t="inlineStr">
        <is>
          <t>34351359</t>
        </is>
      </c>
      <c r="AW867" t="inlineStr">
        <is>
          <t>991002620849702656</t>
        </is>
      </c>
      <c r="AX867" t="inlineStr">
        <is>
          <t>991002620849702656</t>
        </is>
      </c>
      <c r="AY867" t="inlineStr">
        <is>
          <t>2264511680002656</t>
        </is>
      </c>
      <c r="AZ867" t="inlineStr">
        <is>
          <t>BOOK</t>
        </is>
      </c>
      <c r="BB867" t="inlineStr">
        <is>
          <t>9784770019868</t>
        </is>
      </c>
      <c r="BC867" t="inlineStr">
        <is>
          <t>32285002187531</t>
        </is>
      </c>
      <c r="BD867" t="inlineStr">
        <is>
          <t>893233189</t>
        </is>
      </c>
    </row>
    <row r="868">
      <c r="A868" t="inlineStr">
        <is>
          <t>No</t>
        </is>
      </c>
      <c r="B868" t="inlineStr">
        <is>
          <t>PL858.E14 K63 1982</t>
        </is>
      </c>
      <c r="C868" t="inlineStr">
        <is>
          <t>0                      PL 0858000E  14                 K  63          1982</t>
        </is>
      </c>
      <c r="D868" t="inlineStr">
        <is>
          <t>A personal matter / by Kenzaburo Oë ; translated from the Japanese by John Nathan.</t>
        </is>
      </c>
      <c r="F868" t="inlineStr">
        <is>
          <t>No</t>
        </is>
      </c>
      <c r="G868" t="inlineStr">
        <is>
          <t>1</t>
        </is>
      </c>
      <c r="H868" t="inlineStr">
        <is>
          <t>No</t>
        </is>
      </c>
      <c r="I868" t="inlineStr">
        <is>
          <t>No</t>
        </is>
      </c>
      <c r="J868" t="inlineStr">
        <is>
          <t>0</t>
        </is>
      </c>
      <c r="K868" t="inlineStr">
        <is>
          <t>Ōe, Kenzaburō, 1935-</t>
        </is>
      </c>
      <c r="L868" t="inlineStr">
        <is>
          <t>New York : Grove Weidenfeld, 1982, c1969.</t>
        </is>
      </c>
      <c r="M868" t="inlineStr">
        <is>
          <t>1982</t>
        </is>
      </c>
      <c r="N868" t="inlineStr">
        <is>
          <t>1st Evergreen ed.</t>
        </is>
      </c>
      <c r="O868" t="inlineStr">
        <is>
          <t>eng</t>
        </is>
      </c>
      <c r="P868" t="inlineStr">
        <is>
          <t>nyu</t>
        </is>
      </c>
      <c r="R868" t="inlineStr">
        <is>
          <t xml:space="preserve">PL </t>
        </is>
      </c>
      <c r="S868" t="n">
        <v>5</v>
      </c>
      <c r="T868" t="n">
        <v>5</v>
      </c>
      <c r="U868" t="inlineStr">
        <is>
          <t>2000-12-19</t>
        </is>
      </c>
      <c r="V868" t="inlineStr">
        <is>
          <t>2000-12-19</t>
        </is>
      </c>
      <c r="W868" t="inlineStr">
        <is>
          <t>1995-02-13</t>
        </is>
      </c>
      <c r="X868" t="inlineStr">
        <is>
          <t>1995-02-13</t>
        </is>
      </c>
      <c r="Y868" t="n">
        <v>154</v>
      </c>
      <c r="Z868" t="n">
        <v>141</v>
      </c>
      <c r="AA868" t="n">
        <v>1273</v>
      </c>
      <c r="AB868" t="n">
        <v>2</v>
      </c>
      <c r="AC868" t="n">
        <v>8</v>
      </c>
      <c r="AD868" t="n">
        <v>4</v>
      </c>
      <c r="AE868" t="n">
        <v>43</v>
      </c>
      <c r="AF868" t="n">
        <v>1</v>
      </c>
      <c r="AG868" t="n">
        <v>18</v>
      </c>
      <c r="AH868" t="n">
        <v>0</v>
      </c>
      <c r="AI868" t="n">
        <v>10</v>
      </c>
      <c r="AJ868" t="n">
        <v>3</v>
      </c>
      <c r="AK868" t="n">
        <v>22</v>
      </c>
      <c r="AL868" t="n">
        <v>1</v>
      </c>
      <c r="AM868" t="n">
        <v>6</v>
      </c>
      <c r="AN868" t="n">
        <v>0</v>
      </c>
      <c r="AO868" t="n">
        <v>0</v>
      </c>
      <c r="AP868" t="inlineStr">
        <is>
          <t>No</t>
        </is>
      </c>
      <c r="AQ868" t="inlineStr">
        <is>
          <t>No</t>
        </is>
      </c>
      <c r="AS868">
        <f>HYPERLINK("https://creighton-primo.hosted.exlibrisgroup.com/primo-explore/search?tab=default_tab&amp;search_scope=EVERYTHING&amp;vid=01CRU&amp;lang=en_US&amp;offset=0&amp;query=any,contains,991000290399702656","Catalog Record")</f>
        <v/>
      </c>
      <c r="AT868">
        <f>HYPERLINK("http://www.worldcat.org/oclc/9960637","WorldCat Record")</f>
        <v/>
      </c>
      <c r="AU868" t="inlineStr">
        <is>
          <t>587860:eng</t>
        </is>
      </c>
      <c r="AV868" t="inlineStr">
        <is>
          <t>9960637</t>
        </is>
      </c>
      <c r="AW868" t="inlineStr">
        <is>
          <t>991000290399702656</t>
        </is>
      </c>
      <c r="AX868" t="inlineStr">
        <is>
          <t>991000290399702656</t>
        </is>
      </c>
      <c r="AY868" t="inlineStr">
        <is>
          <t>2270319010002656</t>
        </is>
      </c>
      <c r="AZ868" t="inlineStr">
        <is>
          <t>BOOK</t>
        </is>
      </c>
      <c r="BB868" t="inlineStr">
        <is>
          <t>9780394176505</t>
        </is>
      </c>
      <c r="BC868" t="inlineStr">
        <is>
          <t>32285001998433</t>
        </is>
      </c>
      <c r="BD868" t="inlineStr">
        <is>
          <t>893527946</t>
        </is>
      </c>
    </row>
    <row r="869">
      <c r="A869" t="inlineStr">
        <is>
          <t>No</t>
        </is>
      </c>
      <c r="B869" t="inlineStr">
        <is>
          <t>PL858.E14 M313 1981</t>
        </is>
      </c>
      <c r="C869" t="inlineStr">
        <is>
          <t>0                      PL 0858000E  14                 M  313         1981</t>
        </is>
      </c>
      <c r="D869" t="inlineStr">
        <is>
          <t>The silent cry / Kenzaburo Oe ; translated by John Bester.</t>
        </is>
      </c>
      <c r="F869" t="inlineStr">
        <is>
          <t>No</t>
        </is>
      </c>
      <c r="G869" t="inlineStr">
        <is>
          <t>1</t>
        </is>
      </c>
      <c r="H869" t="inlineStr">
        <is>
          <t>No</t>
        </is>
      </c>
      <c r="I869" t="inlineStr">
        <is>
          <t>No</t>
        </is>
      </c>
      <c r="J869" t="inlineStr">
        <is>
          <t>0</t>
        </is>
      </c>
      <c r="K869" t="inlineStr">
        <is>
          <t>Ōe, Kenzaburō, 1935-</t>
        </is>
      </c>
      <c r="L869" t="inlineStr">
        <is>
          <t>Tokyo : Kodansha International ; New York : Kodansha International/USA, 1981, c1974.</t>
        </is>
      </c>
      <c r="M869" t="inlineStr">
        <is>
          <t>1981</t>
        </is>
      </c>
      <c r="N869" t="inlineStr">
        <is>
          <t>1st English-language pbk. ed.</t>
        </is>
      </c>
      <c r="O869" t="inlineStr">
        <is>
          <t>eng</t>
        </is>
      </c>
      <c r="P869" t="inlineStr">
        <is>
          <t xml:space="preserve">ja </t>
        </is>
      </c>
      <c r="R869" t="inlineStr">
        <is>
          <t xml:space="preserve">PL </t>
        </is>
      </c>
      <c r="S869" t="n">
        <v>6</v>
      </c>
      <c r="T869" t="n">
        <v>6</v>
      </c>
      <c r="U869" t="inlineStr">
        <is>
          <t>2007-03-23</t>
        </is>
      </c>
      <c r="V869" t="inlineStr">
        <is>
          <t>2007-03-23</t>
        </is>
      </c>
      <c r="W869" t="inlineStr">
        <is>
          <t>1995-03-22</t>
        </is>
      </c>
      <c r="X869" t="inlineStr">
        <is>
          <t>1995-03-22</t>
        </is>
      </c>
      <c r="Y869" t="n">
        <v>362</v>
      </c>
      <c r="Z869" t="n">
        <v>326</v>
      </c>
      <c r="AA869" t="n">
        <v>970</v>
      </c>
      <c r="AB869" t="n">
        <v>4</v>
      </c>
      <c r="AC869" t="n">
        <v>5</v>
      </c>
      <c r="AD869" t="n">
        <v>13</v>
      </c>
      <c r="AE869" t="n">
        <v>35</v>
      </c>
      <c r="AF869" t="n">
        <v>7</v>
      </c>
      <c r="AG869" t="n">
        <v>17</v>
      </c>
      <c r="AH869" t="n">
        <v>2</v>
      </c>
      <c r="AI869" t="n">
        <v>8</v>
      </c>
      <c r="AJ869" t="n">
        <v>8</v>
      </c>
      <c r="AK869" t="n">
        <v>18</v>
      </c>
      <c r="AL869" t="n">
        <v>2</v>
      </c>
      <c r="AM869" t="n">
        <v>3</v>
      </c>
      <c r="AN869" t="n">
        <v>0</v>
      </c>
      <c r="AO869" t="n">
        <v>0</v>
      </c>
      <c r="AP869" t="inlineStr">
        <is>
          <t>No</t>
        </is>
      </c>
      <c r="AQ869" t="inlineStr">
        <is>
          <t>No</t>
        </is>
      </c>
      <c r="AS869">
        <f>HYPERLINK("https://creighton-primo.hosted.exlibrisgroup.com/primo-explore/search?tab=default_tab&amp;search_scope=EVERYTHING&amp;vid=01CRU&amp;lang=en_US&amp;offset=0&amp;query=any,contains,991003733969702656","Catalog Record")</f>
        <v/>
      </c>
      <c r="AT869">
        <f>HYPERLINK("http://www.worldcat.org/oclc/1387487","WorldCat Record")</f>
        <v/>
      </c>
      <c r="AU869" t="inlineStr">
        <is>
          <t>1685213150:eng</t>
        </is>
      </c>
      <c r="AV869" t="inlineStr">
        <is>
          <t>1387487</t>
        </is>
      </c>
      <c r="AW869" t="inlineStr">
        <is>
          <t>991003733969702656</t>
        </is>
      </c>
      <c r="AX869" t="inlineStr">
        <is>
          <t>991003733969702656</t>
        </is>
      </c>
      <c r="AY869" t="inlineStr">
        <is>
          <t>2263725370002656</t>
        </is>
      </c>
      <c r="AZ869" t="inlineStr">
        <is>
          <t>BOOK</t>
        </is>
      </c>
      <c r="BB869" t="inlineStr">
        <is>
          <t>9780870114663</t>
        </is>
      </c>
      <c r="BC869" t="inlineStr">
        <is>
          <t>32285002004082</t>
        </is>
      </c>
      <c r="BD869" t="inlineStr">
        <is>
          <t>893810145</t>
        </is>
      </c>
    </row>
    <row r="870">
      <c r="A870" t="inlineStr">
        <is>
          <t>No</t>
        </is>
      </c>
      <c r="B870" t="inlineStr">
        <is>
          <t>PL858.E14 S4913 1996</t>
        </is>
      </c>
      <c r="C870" t="inlineStr">
        <is>
          <t>0                      PL 0858000E  14                 S  4913        1996</t>
        </is>
      </c>
      <c r="D870" t="inlineStr">
        <is>
          <t>A quiet life / by Kenzaburo Oe ; translated from the Japanese by Kunioki Yanagishita and William Wetherall.</t>
        </is>
      </c>
      <c r="F870" t="inlineStr">
        <is>
          <t>No</t>
        </is>
      </c>
      <c r="G870" t="inlineStr">
        <is>
          <t>1</t>
        </is>
      </c>
      <c r="H870" t="inlineStr">
        <is>
          <t>No</t>
        </is>
      </c>
      <c r="I870" t="inlineStr">
        <is>
          <t>No</t>
        </is>
      </c>
      <c r="J870" t="inlineStr">
        <is>
          <t>0</t>
        </is>
      </c>
      <c r="K870" t="inlineStr">
        <is>
          <t>Ōe, Kenzaburō, 1935-</t>
        </is>
      </c>
      <c r="L870" t="inlineStr">
        <is>
          <t>New York : Grove Press, 1996, c1990.</t>
        </is>
      </c>
      <c r="M870" t="inlineStr">
        <is>
          <t>1996</t>
        </is>
      </c>
      <c r="N870" t="inlineStr">
        <is>
          <t>1st ed.</t>
        </is>
      </c>
      <c r="O870" t="inlineStr">
        <is>
          <t>eng</t>
        </is>
      </c>
      <c r="P870" t="inlineStr">
        <is>
          <t>nyu</t>
        </is>
      </c>
      <c r="R870" t="inlineStr">
        <is>
          <t xml:space="preserve">PL </t>
        </is>
      </c>
      <c r="S870" t="n">
        <v>3</v>
      </c>
      <c r="T870" t="n">
        <v>3</v>
      </c>
      <c r="U870" t="inlineStr">
        <is>
          <t>2002-04-23</t>
        </is>
      </c>
      <c r="V870" t="inlineStr">
        <is>
          <t>2002-04-23</t>
        </is>
      </c>
      <c r="W870" t="inlineStr">
        <is>
          <t>1996-12-11</t>
        </is>
      </c>
      <c r="X870" t="inlineStr">
        <is>
          <t>1996-12-11</t>
        </is>
      </c>
      <c r="Y870" t="n">
        <v>780</v>
      </c>
      <c r="Z870" t="n">
        <v>706</v>
      </c>
      <c r="AA870" t="n">
        <v>729</v>
      </c>
      <c r="AB870" t="n">
        <v>7</v>
      </c>
      <c r="AC870" t="n">
        <v>7</v>
      </c>
      <c r="AD870" t="n">
        <v>22</v>
      </c>
      <c r="AE870" t="n">
        <v>22</v>
      </c>
      <c r="AF870" t="n">
        <v>7</v>
      </c>
      <c r="AG870" t="n">
        <v>7</v>
      </c>
      <c r="AH870" t="n">
        <v>6</v>
      </c>
      <c r="AI870" t="n">
        <v>6</v>
      </c>
      <c r="AJ870" t="n">
        <v>12</v>
      </c>
      <c r="AK870" t="n">
        <v>12</v>
      </c>
      <c r="AL870" t="n">
        <v>4</v>
      </c>
      <c r="AM870" t="n">
        <v>4</v>
      </c>
      <c r="AN870" t="n">
        <v>0</v>
      </c>
      <c r="AO870" t="n">
        <v>0</v>
      </c>
      <c r="AP870" t="inlineStr">
        <is>
          <t>No</t>
        </is>
      </c>
      <c r="AQ870" t="inlineStr">
        <is>
          <t>No</t>
        </is>
      </c>
      <c r="AS870">
        <f>HYPERLINK("https://creighton-primo.hosted.exlibrisgroup.com/primo-explore/search?tab=default_tab&amp;search_scope=EVERYTHING&amp;vid=01CRU&amp;lang=en_US&amp;offset=0&amp;query=any,contains,991002669429702656","Catalog Record")</f>
        <v/>
      </c>
      <c r="AT870">
        <f>HYPERLINK("http://www.worldcat.org/oclc/34912776","WorldCat Record")</f>
        <v/>
      </c>
      <c r="AU870" t="inlineStr">
        <is>
          <t>3859737808:eng</t>
        </is>
      </c>
      <c r="AV870" t="inlineStr">
        <is>
          <t>34912776</t>
        </is>
      </c>
      <c r="AW870" t="inlineStr">
        <is>
          <t>991002669429702656</t>
        </is>
      </c>
      <c r="AX870" t="inlineStr">
        <is>
          <t>991002669429702656</t>
        </is>
      </c>
      <c r="AY870" t="inlineStr">
        <is>
          <t>2258942580002656</t>
        </is>
      </c>
      <c r="AZ870" t="inlineStr">
        <is>
          <t>BOOK</t>
        </is>
      </c>
      <c r="BB870" t="inlineStr">
        <is>
          <t>9780802115973</t>
        </is>
      </c>
      <c r="BC870" t="inlineStr">
        <is>
          <t>32285002391984</t>
        </is>
      </c>
      <c r="BD870" t="inlineStr">
        <is>
          <t>893780075</t>
        </is>
      </c>
    </row>
    <row r="871">
      <c r="A871" t="inlineStr">
        <is>
          <t>No</t>
        </is>
      </c>
      <c r="B871" t="inlineStr">
        <is>
          <t>PL861.E8 B513 1993</t>
        </is>
      </c>
      <c r="C871" t="inlineStr">
        <is>
          <t>0                      PL 0861000E  8                  B  513         1993</t>
        </is>
      </c>
      <c r="D871" t="inlineStr">
        <is>
          <t>Beauty in disarray / Harumi Setouchi ; translated by Sanford Goldstein &amp; Kazuji Ninomiya.</t>
        </is>
      </c>
      <c r="F871" t="inlineStr">
        <is>
          <t>No</t>
        </is>
      </c>
      <c r="G871" t="inlineStr">
        <is>
          <t>1</t>
        </is>
      </c>
      <c r="H871" t="inlineStr">
        <is>
          <t>No</t>
        </is>
      </c>
      <c r="I871" t="inlineStr">
        <is>
          <t>No</t>
        </is>
      </c>
      <c r="J871" t="inlineStr">
        <is>
          <t>0</t>
        </is>
      </c>
      <c r="K871" t="inlineStr">
        <is>
          <t>Setouchi, Harumi, 1922-</t>
        </is>
      </c>
      <c r="L871" t="inlineStr">
        <is>
          <t>Rutland, VT : Charles E. Tuttle, c1993.</t>
        </is>
      </c>
      <c r="M871" t="inlineStr">
        <is>
          <t>1993</t>
        </is>
      </c>
      <c r="N871" t="inlineStr">
        <is>
          <t>1st ed.</t>
        </is>
      </c>
      <c r="O871" t="inlineStr">
        <is>
          <t>eng</t>
        </is>
      </c>
      <c r="P871" t="inlineStr">
        <is>
          <t>vtu</t>
        </is>
      </c>
      <c r="Q871" t="inlineStr">
        <is>
          <t>Tut books</t>
        </is>
      </c>
      <c r="R871" t="inlineStr">
        <is>
          <t xml:space="preserve">PL </t>
        </is>
      </c>
      <c r="S871" t="n">
        <v>1</v>
      </c>
      <c r="T871" t="n">
        <v>1</v>
      </c>
      <c r="U871" t="inlineStr">
        <is>
          <t>2002-11-19</t>
        </is>
      </c>
      <c r="V871" t="inlineStr">
        <is>
          <t>2002-11-19</t>
        </is>
      </c>
      <c r="W871" t="inlineStr">
        <is>
          <t>2002-11-19</t>
        </is>
      </c>
      <c r="X871" t="inlineStr">
        <is>
          <t>2002-11-19</t>
        </is>
      </c>
      <c r="Y871" t="n">
        <v>173</v>
      </c>
      <c r="Z871" t="n">
        <v>126</v>
      </c>
      <c r="AA871" t="n">
        <v>153</v>
      </c>
      <c r="AB871" t="n">
        <v>2</v>
      </c>
      <c r="AC871" t="n">
        <v>3</v>
      </c>
      <c r="AD871" t="n">
        <v>6</v>
      </c>
      <c r="AE871" t="n">
        <v>8</v>
      </c>
      <c r="AF871" t="n">
        <v>2</v>
      </c>
      <c r="AG871" t="n">
        <v>3</v>
      </c>
      <c r="AH871" t="n">
        <v>3</v>
      </c>
      <c r="AI871" t="n">
        <v>4</v>
      </c>
      <c r="AJ871" t="n">
        <v>2</v>
      </c>
      <c r="AK871" t="n">
        <v>2</v>
      </c>
      <c r="AL871" t="n">
        <v>1</v>
      </c>
      <c r="AM871" t="n">
        <v>2</v>
      </c>
      <c r="AN871" t="n">
        <v>0</v>
      </c>
      <c r="AO871" t="n">
        <v>0</v>
      </c>
      <c r="AP871" t="inlineStr">
        <is>
          <t>No</t>
        </is>
      </c>
      <c r="AQ871" t="inlineStr">
        <is>
          <t>Yes</t>
        </is>
      </c>
      <c r="AR871">
        <f>HYPERLINK("http://catalog.hathitrust.org/Record/002805525","HathiTrust Record")</f>
        <v/>
      </c>
      <c r="AS871">
        <f>HYPERLINK("https://creighton-primo.hosted.exlibrisgroup.com/primo-explore/search?tab=default_tab&amp;search_scope=EVERYTHING&amp;vid=01CRU&amp;lang=en_US&amp;offset=0&amp;query=any,contains,991003947339702656","Catalog Record")</f>
        <v/>
      </c>
      <c r="AT871">
        <f>HYPERLINK("http://www.worldcat.org/oclc/29334439","WorldCat Record")</f>
        <v/>
      </c>
      <c r="AU871" t="inlineStr">
        <is>
          <t>960541:eng</t>
        </is>
      </c>
      <c r="AV871" t="inlineStr">
        <is>
          <t>29334439</t>
        </is>
      </c>
      <c r="AW871" t="inlineStr">
        <is>
          <t>991003947339702656</t>
        </is>
      </c>
      <c r="AX871" t="inlineStr">
        <is>
          <t>991003947339702656</t>
        </is>
      </c>
      <c r="AY871" t="inlineStr">
        <is>
          <t>2262096430002656</t>
        </is>
      </c>
      <c r="AZ871" t="inlineStr">
        <is>
          <t>BOOK</t>
        </is>
      </c>
      <c r="BB871" t="inlineStr">
        <is>
          <t>9780804818667</t>
        </is>
      </c>
      <c r="BC871" t="inlineStr">
        <is>
          <t>32285004664792</t>
        </is>
      </c>
      <c r="BD871" t="inlineStr">
        <is>
          <t>893693355</t>
        </is>
      </c>
    </row>
    <row r="872">
      <c r="A872" t="inlineStr">
        <is>
          <t>No</t>
        </is>
      </c>
      <c r="B872" t="inlineStr">
        <is>
          <t>PL862.A4212 A27 1992</t>
        </is>
      </c>
      <c r="C872" t="inlineStr">
        <is>
          <t>0                      PL 0862000A  4212               A  27          1992</t>
        </is>
      </c>
      <c r="D872" t="inlineStr">
        <is>
          <t>Sleeping sinning falling / by Mutsuo Takahashi ; edited and translated by Hiroaki Sato.</t>
        </is>
      </c>
      <c r="F872" t="inlineStr">
        <is>
          <t>No</t>
        </is>
      </c>
      <c r="G872" t="inlineStr">
        <is>
          <t>1</t>
        </is>
      </c>
      <c r="H872" t="inlineStr">
        <is>
          <t>No</t>
        </is>
      </c>
      <c r="I872" t="inlineStr">
        <is>
          <t>No</t>
        </is>
      </c>
      <c r="J872" t="inlineStr">
        <is>
          <t>0</t>
        </is>
      </c>
      <c r="K872" t="inlineStr">
        <is>
          <t>Takahashi, Mutsuo, 1937-</t>
        </is>
      </c>
      <c r="L872" t="inlineStr">
        <is>
          <t>San Francisco : City Lights Books, 1992.</t>
        </is>
      </c>
      <c r="M872" t="inlineStr">
        <is>
          <t>1992</t>
        </is>
      </c>
      <c r="O872" t="inlineStr">
        <is>
          <t>eng</t>
        </is>
      </c>
      <c r="P872" t="inlineStr">
        <is>
          <t>cau</t>
        </is>
      </c>
      <c r="R872" t="inlineStr">
        <is>
          <t xml:space="preserve">PL </t>
        </is>
      </c>
      <c r="S872" t="n">
        <v>1</v>
      </c>
      <c r="T872" t="n">
        <v>1</v>
      </c>
      <c r="U872" t="inlineStr">
        <is>
          <t>2005-10-31</t>
        </is>
      </c>
      <c r="V872" t="inlineStr">
        <is>
          <t>2005-10-31</t>
        </is>
      </c>
      <c r="W872" t="inlineStr">
        <is>
          <t>1993-10-08</t>
        </is>
      </c>
      <c r="X872" t="inlineStr">
        <is>
          <t>1993-10-08</t>
        </is>
      </c>
      <c r="Y872" t="n">
        <v>113</v>
      </c>
      <c r="Z872" t="n">
        <v>98</v>
      </c>
      <c r="AA872" t="n">
        <v>105</v>
      </c>
      <c r="AB872" t="n">
        <v>1</v>
      </c>
      <c r="AC872" t="n">
        <v>1</v>
      </c>
      <c r="AD872" t="n">
        <v>7</v>
      </c>
      <c r="AE872" t="n">
        <v>7</v>
      </c>
      <c r="AF872" t="n">
        <v>2</v>
      </c>
      <c r="AG872" t="n">
        <v>2</v>
      </c>
      <c r="AH872" t="n">
        <v>3</v>
      </c>
      <c r="AI872" t="n">
        <v>3</v>
      </c>
      <c r="AJ872" t="n">
        <v>4</v>
      </c>
      <c r="AK872" t="n">
        <v>4</v>
      </c>
      <c r="AL872" t="n">
        <v>0</v>
      </c>
      <c r="AM872" t="n">
        <v>0</v>
      </c>
      <c r="AN872" t="n">
        <v>0</v>
      </c>
      <c r="AO872" t="n">
        <v>0</v>
      </c>
      <c r="AP872" t="inlineStr">
        <is>
          <t>No</t>
        </is>
      </c>
      <c r="AQ872" t="inlineStr">
        <is>
          <t>Yes</t>
        </is>
      </c>
      <c r="AR872">
        <f>HYPERLINK("http://catalog.hathitrust.org/Record/002622068","HathiTrust Record")</f>
        <v/>
      </c>
      <c r="AS872">
        <f>HYPERLINK("https://creighton-primo.hosted.exlibrisgroup.com/primo-explore/search?tab=default_tab&amp;search_scope=EVERYTHING&amp;vid=01CRU&amp;lang=en_US&amp;offset=0&amp;query=any,contains,991001987509702656","Catalog Record")</f>
        <v/>
      </c>
      <c r="AT872">
        <f>HYPERLINK("http://www.worldcat.org/oclc/25246428","WorldCat Record")</f>
        <v/>
      </c>
      <c r="AU872" t="inlineStr">
        <is>
          <t>287586205:eng</t>
        </is>
      </c>
      <c r="AV872" t="inlineStr">
        <is>
          <t>25246428</t>
        </is>
      </c>
      <c r="AW872" t="inlineStr">
        <is>
          <t>991001987509702656</t>
        </is>
      </c>
      <c r="AX872" t="inlineStr">
        <is>
          <t>991001987509702656</t>
        </is>
      </c>
      <c r="AY872" t="inlineStr">
        <is>
          <t>2256325340002656</t>
        </is>
      </c>
      <c r="AZ872" t="inlineStr">
        <is>
          <t>BOOK</t>
        </is>
      </c>
      <c r="BB872" t="inlineStr">
        <is>
          <t>9780872862685</t>
        </is>
      </c>
      <c r="BC872" t="inlineStr">
        <is>
          <t>32285001770006</t>
        </is>
      </c>
      <c r="BD872" t="inlineStr">
        <is>
          <t>893328552</t>
        </is>
      </c>
    </row>
    <row r="873">
      <c r="A873" t="inlineStr">
        <is>
          <t>No</t>
        </is>
      </c>
      <c r="B873" t="inlineStr">
        <is>
          <t>PL865 .B7</t>
        </is>
      </c>
      <c r="C873" t="inlineStr">
        <is>
          <t>0                      PL 0865000B  7</t>
        </is>
      </c>
      <c r="D873" t="inlineStr">
        <is>
          <t>Japanese court poetry / by Robert H. Brower and Earl Miner.</t>
        </is>
      </c>
      <c r="F873" t="inlineStr">
        <is>
          <t>No</t>
        </is>
      </c>
      <c r="G873" t="inlineStr">
        <is>
          <t>1</t>
        </is>
      </c>
      <c r="H873" t="inlineStr">
        <is>
          <t>No</t>
        </is>
      </c>
      <c r="I873" t="inlineStr">
        <is>
          <t>No</t>
        </is>
      </c>
      <c r="J873" t="inlineStr">
        <is>
          <t>0</t>
        </is>
      </c>
      <c r="K873" t="inlineStr">
        <is>
          <t>Brower, Robert H., 1923-1988.</t>
        </is>
      </c>
      <c r="L873" t="inlineStr">
        <is>
          <t>Stanford, Calif. : Stanford University Press, 1961, 1975 printing.</t>
        </is>
      </c>
      <c r="M873" t="inlineStr">
        <is>
          <t>1961</t>
        </is>
      </c>
      <c r="O873" t="inlineStr">
        <is>
          <t>eng</t>
        </is>
      </c>
      <c r="P873" t="inlineStr">
        <is>
          <t>cau</t>
        </is>
      </c>
      <c r="Q873" t="inlineStr">
        <is>
          <t>Stanford studies in the civilization of eastern Asia</t>
        </is>
      </c>
      <c r="R873" t="inlineStr">
        <is>
          <t xml:space="preserve">PL </t>
        </is>
      </c>
      <c r="S873" t="n">
        <v>3</v>
      </c>
      <c r="T873" t="n">
        <v>3</v>
      </c>
      <c r="U873" t="inlineStr">
        <is>
          <t>2008-10-22</t>
        </is>
      </c>
      <c r="V873" t="inlineStr">
        <is>
          <t>2008-10-22</t>
        </is>
      </c>
      <c r="W873" t="inlineStr">
        <is>
          <t>1993-05-05</t>
        </is>
      </c>
      <c r="X873" t="inlineStr">
        <is>
          <t>1993-05-05</t>
        </is>
      </c>
      <c r="Y873" t="n">
        <v>692</v>
      </c>
      <c r="Z873" t="n">
        <v>594</v>
      </c>
      <c r="AA873" t="n">
        <v>630</v>
      </c>
      <c r="AB873" t="n">
        <v>6</v>
      </c>
      <c r="AC873" t="n">
        <v>7</v>
      </c>
      <c r="AD873" t="n">
        <v>24</v>
      </c>
      <c r="AE873" t="n">
        <v>27</v>
      </c>
      <c r="AF873" t="n">
        <v>8</v>
      </c>
      <c r="AG873" t="n">
        <v>9</v>
      </c>
      <c r="AH873" t="n">
        <v>5</v>
      </c>
      <c r="AI873" t="n">
        <v>5</v>
      </c>
      <c r="AJ873" t="n">
        <v>10</v>
      </c>
      <c r="AK873" t="n">
        <v>12</v>
      </c>
      <c r="AL873" t="n">
        <v>5</v>
      </c>
      <c r="AM873" t="n">
        <v>6</v>
      </c>
      <c r="AN873" t="n">
        <v>0</v>
      </c>
      <c r="AO873" t="n">
        <v>0</v>
      </c>
      <c r="AP873" t="inlineStr">
        <is>
          <t>No</t>
        </is>
      </c>
      <c r="AQ873" t="inlineStr">
        <is>
          <t>No</t>
        </is>
      </c>
      <c r="AS873">
        <f>HYPERLINK("https://creighton-primo.hosted.exlibrisgroup.com/primo-explore/search?tab=default_tab&amp;search_scope=EVERYTHING&amp;vid=01CRU&amp;lang=en_US&amp;offset=0&amp;query=any,contains,991002369329702656","Catalog Record")</f>
        <v/>
      </c>
      <c r="AT873">
        <f>HYPERLINK("http://www.worldcat.org/oclc/326761","WorldCat Record")</f>
        <v/>
      </c>
      <c r="AU873" t="inlineStr">
        <is>
          <t>1417407:eng</t>
        </is>
      </c>
      <c r="AV873" t="inlineStr">
        <is>
          <t>326761</t>
        </is>
      </c>
      <c r="AW873" t="inlineStr">
        <is>
          <t>991002369329702656</t>
        </is>
      </c>
      <c r="AX873" t="inlineStr">
        <is>
          <t>991002369329702656</t>
        </is>
      </c>
      <c r="AY873" t="inlineStr">
        <is>
          <t>2272044180002656</t>
        </is>
      </c>
      <c r="AZ873" t="inlineStr">
        <is>
          <t>BOOK</t>
        </is>
      </c>
      <c r="BC873" t="inlineStr">
        <is>
          <t>32285001672160</t>
        </is>
      </c>
      <c r="BD873" t="inlineStr">
        <is>
          <t>893879835</t>
        </is>
      </c>
    </row>
    <row r="874">
      <c r="A874" t="inlineStr">
        <is>
          <t>No</t>
        </is>
      </c>
      <c r="B874" t="inlineStr">
        <is>
          <t>PL865.A57 Z2813</t>
        </is>
      </c>
      <c r="C874" t="inlineStr">
        <is>
          <t>0                      PL 0865000A  57                 Z  2813</t>
        </is>
      </c>
      <c r="D874" t="inlineStr">
        <is>
          <t>Mask and sword : two plays for the contemporary Japanese theater / by Yamazaki Masakzu ; translated by J. Thomas Rimer.</t>
        </is>
      </c>
      <c r="F874" t="inlineStr">
        <is>
          <t>No</t>
        </is>
      </c>
      <c r="G874" t="inlineStr">
        <is>
          <t>1</t>
        </is>
      </c>
      <c r="H874" t="inlineStr">
        <is>
          <t>No</t>
        </is>
      </c>
      <c r="I874" t="inlineStr">
        <is>
          <t>No</t>
        </is>
      </c>
      <c r="J874" t="inlineStr">
        <is>
          <t>0</t>
        </is>
      </c>
      <c r="K874" t="inlineStr">
        <is>
          <t>Yamazaki, Masakazu, 1834-</t>
        </is>
      </c>
      <c r="L874" t="inlineStr">
        <is>
          <t>New York : Columbia University Press, 1980.</t>
        </is>
      </c>
      <c r="M874" t="inlineStr">
        <is>
          <t>1980</t>
        </is>
      </c>
      <c r="O874" t="inlineStr">
        <is>
          <t>eng</t>
        </is>
      </c>
      <c r="P874" t="inlineStr">
        <is>
          <t>nyu</t>
        </is>
      </c>
      <c r="Q874" t="inlineStr">
        <is>
          <t>Modern Asian literature series</t>
        </is>
      </c>
      <c r="R874" t="inlineStr">
        <is>
          <t xml:space="preserve">PL </t>
        </is>
      </c>
      <c r="S874" t="n">
        <v>2</v>
      </c>
      <c r="T874" t="n">
        <v>2</v>
      </c>
      <c r="U874" t="inlineStr">
        <is>
          <t>1994-08-26</t>
        </is>
      </c>
      <c r="V874" t="inlineStr">
        <is>
          <t>1994-08-26</t>
        </is>
      </c>
      <c r="W874" t="inlineStr">
        <is>
          <t>1993-05-05</t>
        </is>
      </c>
      <c r="X874" t="inlineStr">
        <is>
          <t>1993-05-05</t>
        </is>
      </c>
      <c r="Y874" t="n">
        <v>455</v>
      </c>
      <c r="Z874" t="n">
        <v>387</v>
      </c>
      <c r="AA874" t="n">
        <v>395</v>
      </c>
      <c r="AB874" t="n">
        <v>2</v>
      </c>
      <c r="AC874" t="n">
        <v>2</v>
      </c>
      <c r="AD874" t="n">
        <v>15</v>
      </c>
      <c r="AE874" t="n">
        <v>15</v>
      </c>
      <c r="AF874" t="n">
        <v>6</v>
      </c>
      <c r="AG874" t="n">
        <v>6</v>
      </c>
      <c r="AH874" t="n">
        <v>3</v>
      </c>
      <c r="AI874" t="n">
        <v>3</v>
      </c>
      <c r="AJ874" t="n">
        <v>8</v>
      </c>
      <c r="AK874" t="n">
        <v>8</v>
      </c>
      <c r="AL874" t="n">
        <v>1</v>
      </c>
      <c r="AM874" t="n">
        <v>1</v>
      </c>
      <c r="AN874" t="n">
        <v>0</v>
      </c>
      <c r="AO874" t="n">
        <v>0</v>
      </c>
      <c r="AP874" t="inlineStr">
        <is>
          <t>No</t>
        </is>
      </c>
      <c r="AQ874" t="inlineStr">
        <is>
          <t>No</t>
        </is>
      </c>
      <c r="AS874">
        <f>HYPERLINK("https://creighton-primo.hosted.exlibrisgroup.com/primo-explore/search?tab=default_tab&amp;search_scope=EVERYTHING&amp;vid=01CRU&amp;lang=en_US&amp;offset=0&amp;query=any,contains,991004868779702656","Catalog Record")</f>
        <v/>
      </c>
      <c r="AT874">
        <f>HYPERLINK("http://www.worldcat.org/oclc/5749497","WorldCat Record")</f>
        <v/>
      </c>
      <c r="AU874" t="inlineStr">
        <is>
          <t>4494946228:eng</t>
        </is>
      </c>
      <c r="AV874" t="inlineStr">
        <is>
          <t>5749497</t>
        </is>
      </c>
      <c r="AW874" t="inlineStr">
        <is>
          <t>991004868779702656</t>
        </is>
      </c>
      <c r="AX874" t="inlineStr">
        <is>
          <t>991004868779702656</t>
        </is>
      </c>
      <c r="AY874" t="inlineStr">
        <is>
          <t>2261946960002656</t>
        </is>
      </c>
      <c r="AZ874" t="inlineStr">
        <is>
          <t>BOOK</t>
        </is>
      </c>
      <c r="BB874" t="inlineStr">
        <is>
          <t>9780231049320</t>
        </is>
      </c>
      <c r="BC874" t="inlineStr">
        <is>
          <t>32285001672152</t>
        </is>
      </c>
      <c r="BD874" t="inlineStr">
        <is>
          <t>893795346</t>
        </is>
      </c>
    </row>
    <row r="875">
      <c r="A875" t="inlineStr">
        <is>
          <t>No</t>
        </is>
      </c>
      <c r="B875" t="inlineStr">
        <is>
          <t>PL865.O7138 T6513 1995</t>
        </is>
      </c>
      <c r="C875" t="inlineStr">
        <is>
          <t>0                      PL 0865000O  7138               T  6513        1995</t>
        </is>
      </c>
      <c r="D875" t="inlineStr">
        <is>
          <t>Lizard / Banana Yoshimoto ; translated from the Japanese by Ann Sherif.</t>
        </is>
      </c>
      <c r="F875" t="inlineStr">
        <is>
          <t>No</t>
        </is>
      </c>
      <c r="G875" t="inlineStr">
        <is>
          <t>1</t>
        </is>
      </c>
      <c r="H875" t="inlineStr">
        <is>
          <t>No</t>
        </is>
      </c>
      <c r="I875" t="inlineStr">
        <is>
          <t>No</t>
        </is>
      </c>
      <c r="J875" t="inlineStr">
        <is>
          <t>0</t>
        </is>
      </c>
      <c r="K875" t="inlineStr">
        <is>
          <t>Yoshimoto, Banana, 1964-</t>
        </is>
      </c>
      <c r="L875" t="inlineStr">
        <is>
          <t>New York : Grove Press, c1995.</t>
        </is>
      </c>
      <c r="M875" t="inlineStr">
        <is>
          <t>1995</t>
        </is>
      </c>
      <c r="N875" t="inlineStr">
        <is>
          <t>1st ed.</t>
        </is>
      </c>
      <c r="O875" t="inlineStr">
        <is>
          <t>eng</t>
        </is>
      </c>
      <c r="P875" t="inlineStr">
        <is>
          <t>nyu</t>
        </is>
      </c>
      <c r="R875" t="inlineStr">
        <is>
          <t xml:space="preserve">PL </t>
        </is>
      </c>
      <c r="S875" t="n">
        <v>6</v>
      </c>
      <c r="T875" t="n">
        <v>6</v>
      </c>
      <c r="U875" t="inlineStr">
        <is>
          <t>2007-03-26</t>
        </is>
      </c>
      <c r="V875" t="inlineStr">
        <is>
          <t>2007-03-26</t>
        </is>
      </c>
      <c r="W875" t="inlineStr">
        <is>
          <t>1995-03-31</t>
        </is>
      </c>
      <c r="X875" t="inlineStr">
        <is>
          <t>1995-03-31</t>
        </is>
      </c>
      <c r="Y875" t="n">
        <v>503</v>
      </c>
      <c r="Z875" t="n">
        <v>453</v>
      </c>
      <c r="AA875" t="n">
        <v>611</v>
      </c>
      <c r="AB875" t="n">
        <v>1</v>
      </c>
      <c r="AC875" t="n">
        <v>2</v>
      </c>
      <c r="AD875" t="n">
        <v>9</v>
      </c>
      <c r="AE875" t="n">
        <v>10</v>
      </c>
      <c r="AF875" t="n">
        <v>0</v>
      </c>
      <c r="AG875" t="n">
        <v>0</v>
      </c>
      <c r="AH875" t="n">
        <v>4</v>
      </c>
      <c r="AI875" t="n">
        <v>5</v>
      </c>
      <c r="AJ875" t="n">
        <v>7</v>
      </c>
      <c r="AK875" t="n">
        <v>7</v>
      </c>
      <c r="AL875" t="n">
        <v>0</v>
      </c>
      <c r="AM875" t="n">
        <v>0</v>
      </c>
      <c r="AN875" t="n">
        <v>0</v>
      </c>
      <c r="AO875" t="n">
        <v>0</v>
      </c>
      <c r="AP875" t="inlineStr">
        <is>
          <t>No</t>
        </is>
      </c>
      <c r="AQ875" t="inlineStr">
        <is>
          <t>No</t>
        </is>
      </c>
      <c r="AS875">
        <f>HYPERLINK("https://creighton-primo.hosted.exlibrisgroup.com/primo-explore/search?tab=default_tab&amp;search_scope=EVERYTHING&amp;vid=01CRU&amp;lang=en_US&amp;offset=0&amp;query=any,contains,991002383259702656","Catalog Record")</f>
        <v/>
      </c>
      <c r="AT875">
        <f>HYPERLINK("http://www.worldcat.org/oclc/30974251","WorldCat Record")</f>
        <v/>
      </c>
      <c r="AU875" t="inlineStr">
        <is>
          <t>23453739:eng</t>
        </is>
      </c>
      <c r="AV875" t="inlineStr">
        <is>
          <t>30974251</t>
        </is>
      </c>
      <c r="AW875" t="inlineStr">
        <is>
          <t>991002383259702656</t>
        </is>
      </c>
      <c r="AX875" t="inlineStr">
        <is>
          <t>991002383259702656</t>
        </is>
      </c>
      <c r="AY875" t="inlineStr">
        <is>
          <t>2260076910002656</t>
        </is>
      </c>
      <c r="AZ875" t="inlineStr">
        <is>
          <t>BOOK</t>
        </is>
      </c>
      <c r="BB875" t="inlineStr">
        <is>
          <t>9780802115645</t>
        </is>
      </c>
      <c r="BC875" t="inlineStr">
        <is>
          <t>32285002015633</t>
        </is>
      </c>
      <c r="BD875" t="inlineStr">
        <is>
          <t>893685303</t>
        </is>
      </c>
    </row>
    <row r="876">
      <c r="A876" t="inlineStr">
        <is>
          <t>No</t>
        </is>
      </c>
      <c r="B876" t="inlineStr">
        <is>
          <t>PL865.O72 H3313 1996</t>
        </is>
      </c>
      <c r="C876" t="inlineStr">
        <is>
          <t>0                      PL 0865000O  72                 H  3313        1996</t>
        </is>
      </c>
      <c r="D876" t="inlineStr">
        <is>
          <t>Shipwrecks / Akira Yoshimura ; translated from the Japanese by Mark Ealey.</t>
        </is>
      </c>
      <c r="F876" t="inlineStr">
        <is>
          <t>No</t>
        </is>
      </c>
      <c r="G876" t="inlineStr">
        <is>
          <t>1</t>
        </is>
      </c>
      <c r="H876" t="inlineStr">
        <is>
          <t>No</t>
        </is>
      </c>
      <c r="I876" t="inlineStr">
        <is>
          <t>No</t>
        </is>
      </c>
      <c r="J876" t="inlineStr">
        <is>
          <t>0</t>
        </is>
      </c>
      <c r="K876" t="inlineStr">
        <is>
          <t>Yoshimura, Akira, 1927-2006.</t>
        </is>
      </c>
      <c r="L876" t="inlineStr">
        <is>
          <t>New York : Harcourt Brace &amp; Co., 1996.</t>
        </is>
      </c>
      <c r="M876" t="inlineStr">
        <is>
          <t>1996</t>
        </is>
      </c>
      <c r="N876" t="inlineStr">
        <is>
          <t>1st ed.</t>
        </is>
      </c>
      <c r="O876" t="inlineStr">
        <is>
          <t>eng</t>
        </is>
      </c>
      <c r="P876" t="inlineStr">
        <is>
          <t>cau</t>
        </is>
      </c>
      <c r="R876" t="inlineStr">
        <is>
          <t xml:space="preserve">PL </t>
        </is>
      </c>
      <c r="S876" t="n">
        <v>0</v>
      </c>
      <c r="T876" t="n">
        <v>0</v>
      </c>
      <c r="U876" t="inlineStr">
        <is>
          <t>2008-04-14</t>
        </is>
      </c>
      <c r="V876" t="inlineStr">
        <is>
          <t>2008-04-14</t>
        </is>
      </c>
      <c r="W876" t="inlineStr">
        <is>
          <t>1996-06-25</t>
        </is>
      </c>
      <c r="X876" t="inlineStr">
        <is>
          <t>1996-06-25</t>
        </is>
      </c>
      <c r="Y876" t="n">
        <v>445</v>
      </c>
      <c r="Z876" t="n">
        <v>407</v>
      </c>
      <c r="AA876" t="n">
        <v>511</v>
      </c>
      <c r="AB876" t="n">
        <v>2</v>
      </c>
      <c r="AC876" t="n">
        <v>2</v>
      </c>
      <c r="AD876" t="n">
        <v>10</v>
      </c>
      <c r="AE876" t="n">
        <v>13</v>
      </c>
      <c r="AF876" t="n">
        <v>3</v>
      </c>
      <c r="AG876" t="n">
        <v>4</v>
      </c>
      <c r="AH876" t="n">
        <v>3</v>
      </c>
      <c r="AI876" t="n">
        <v>4</v>
      </c>
      <c r="AJ876" t="n">
        <v>7</v>
      </c>
      <c r="AK876" t="n">
        <v>8</v>
      </c>
      <c r="AL876" t="n">
        <v>1</v>
      </c>
      <c r="AM876" t="n">
        <v>1</v>
      </c>
      <c r="AN876" t="n">
        <v>0</v>
      </c>
      <c r="AO876" t="n">
        <v>0</v>
      </c>
      <c r="AP876" t="inlineStr">
        <is>
          <t>No</t>
        </is>
      </c>
      <c r="AQ876" t="inlineStr">
        <is>
          <t>Yes</t>
        </is>
      </c>
      <c r="AR876">
        <f>HYPERLINK("http://catalog.hathitrust.org/Record/003094233","HathiTrust Record")</f>
        <v/>
      </c>
      <c r="AS876">
        <f>HYPERLINK("https://creighton-primo.hosted.exlibrisgroup.com/primo-explore/search?tab=default_tab&amp;search_scope=EVERYTHING&amp;vid=01CRU&amp;lang=en_US&amp;offset=0&amp;query=any,contains,991002547299702656","Catalog Record")</f>
        <v/>
      </c>
      <c r="AT876">
        <f>HYPERLINK("http://www.worldcat.org/oclc/33101175","WorldCat Record")</f>
        <v/>
      </c>
      <c r="AU876" t="inlineStr">
        <is>
          <t>63120465:eng</t>
        </is>
      </c>
      <c r="AV876" t="inlineStr">
        <is>
          <t>33101175</t>
        </is>
      </c>
      <c r="AW876" t="inlineStr">
        <is>
          <t>991002547299702656</t>
        </is>
      </c>
      <c r="AX876" t="inlineStr">
        <is>
          <t>991002547299702656</t>
        </is>
      </c>
      <c r="AY876" t="inlineStr">
        <is>
          <t>2272466780002656</t>
        </is>
      </c>
      <c r="AZ876" t="inlineStr">
        <is>
          <t>BOOK</t>
        </is>
      </c>
      <c r="BB876" t="inlineStr">
        <is>
          <t>9780151002115</t>
        </is>
      </c>
      <c r="BC876" t="inlineStr">
        <is>
          <t>32285002172780</t>
        </is>
      </c>
      <c r="BD876" t="inlineStr">
        <is>
          <t>893792594</t>
        </is>
      </c>
    </row>
    <row r="877">
      <c r="A877" t="inlineStr">
        <is>
          <t>No</t>
        </is>
      </c>
      <c r="B877" t="inlineStr">
        <is>
          <t>PL865.O72 K3713 1999</t>
        </is>
      </c>
      <c r="C877" t="inlineStr">
        <is>
          <t>0                      PL 0865000O  72                 K  3713        1999</t>
        </is>
      </c>
      <c r="D877" t="inlineStr">
        <is>
          <t>On parole / Akira Yoshimura ; translated from the Japanese by Stephen Snyder.</t>
        </is>
      </c>
      <c r="F877" t="inlineStr">
        <is>
          <t>No</t>
        </is>
      </c>
      <c r="G877" t="inlineStr">
        <is>
          <t>1</t>
        </is>
      </c>
      <c r="H877" t="inlineStr">
        <is>
          <t>No</t>
        </is>
      </c>
      <c r="I877" t="inlineStr">
        <is>
          <t>No</t>
        </is>
      </c>
      <c r="J877" t="inlineStr">
        <is>
          <t>0</t>
        </is>
      </c>
      <c r="K877" t="inlineStr">
        <is>
          <t>Yoshimura, Akira, 1927-2006.</t>
        </is>
      </c>
      <c r="L877" t="inlineStr">
        <is>
          <t>New York : Harcourt, Inc., c1999.</t>
        </is>
      </c>
      <c r="M877" t="inlineStr">
        <is>
          <t>1999</t>
        </is>
      </c>
      <c r="N877" t="inlineStr">
        <is>
          <t>1st ed.</t>
        </is>
      </c>
      <c r="O877" t="inlineStr">
        <is>
          <t>eng</t>
        </is>
      </c>
      <c r="P877" t="inlineStr">
        <is>
          <t>nyu</t>
        </is>
      </c>
      <c r="R877" t="inlineStr">
        <is>
          <t xml:space="preserve">PL </t>
        </is>
      </c>
      <c r="S877" t="n">
        <v>2</v>
      </c>
      <c r="T877" t="n">
        <v>2</v>
      </c>
      <c r="U877" t="inlineStr">
        <is>
          <t>2000-05-26</t>
        </is>
      </c>
      <c r="V877" t="inlineStr">
        <is>
          <t>2000-05-26</t>
        </is>
      </c>
      <c r="W877" t="inlineStr">
        <is>
          <t>2000-04-05</t>
        </is>
      </c>
      <c r="X877" t="inlineStr">
        <is>
          <t>2000-04-05</t>
        </is>
      </c>
      <c r="Y877" t="n">
        <v>483</v>
      </c>
      <c r="Z877" t="n">
        <v>448</v>
      </c>
      <c r="AA877" t="n">
        <v>470</v>
      </c>
      <c r="AB877" t="n">
        <v>5</v>
      </c>
      <c r="AC877" t="n">
        <v>5</v>
      </c>
      <c r="AD877" t="n">
        <v>15</v>
      </c>
      <c r="AE877" t="n">
        <v>15</v>
      </c>
      <c r="AF877" t="n">
        <v>2</v>
      </c>
      <c r="AG877" t="n">
        <v>2</v>
      </c>
      <c r="AH877" t="n">
        <v>3</v>
      </c>
      <c r="AI877" t="n">
        <v>3</v>
      </c>
      <c r="AJ877" t="n">
        <v>10</v>
      </c>
      <c r="AK877" t="n">
        <v>10</v>
      </c>
      <c r="AL877" t="n">
        <v>3</v>
      </c>
      <c r="AM877" t="n">
        <v>3</v>
      </c>
      <c r="AN877" t="n">
        <v>0</v>
      </c>
      <c r="AO877" t="n">
        <v>0</v>
      </c>
      <c r="AP877" t="inlineStr">
        <is>
          <t>No</t>
        </is>
      </c>
      <c r="AQ877" t="inlineStr">
        <is>
          <t>Yes</t>
        </is>
      </c>
      <c r="AR877">
        <f>HYPERLINK("http://catalog.hathitrust.org/Record/004082949","HathiTrust Record")</f>
        <v/>
      </c>
      <c r="AS877">
        <f>HYPERLINK("https://creighton-primo.hosted.exlibrisgroup.com/primo-explore/search?tab=default_tab&amp;search_scope=EVERYTHING&amp;vid=01CRU&amp;lang=en_US&amp;offset=0&amp;query=any,contains,991005430219702656","Catalog Record")</f>
        <v/>
      </c>
      <c r="AT877">
        <f>HYPERLINK("http://www.worldcat.org/oclc/41017590","WorldCat Record")</f>
        <v/>
      </c>
      <c r="AU877" t="inlineStr">
        <is>
          <t>3857954719:eng</t>
        </is>
      </c>
      <c r="AV877" t="inlineStr">
        <is>
          <t>41017590</t>
        </is>
      </c>
      <c r="AW877" t="inlineStr">
        <is>
          <t>991005430219702656</t>
        </is>
      </c>
      <c r="AX877" t="inlineStr">
        <is>
          <t>991005430219702656</t>
        </is>
      </c>
      <c r="AY877" t="inlineStr">
        <is>
          <t>2255320260002656</t>
        </is>
      </c>
      <c r="AZ877" t="inlineStr">
        <is>
          <t>BOOK</t>
        </is>
      </c>
      <c r="BB877" t="inlineStr">
        <is>
          <t>9780151002702</t>
        </is>
      </c>
      <c r="BC877" t="inlineStr">
        <is>
          <t>32285003675682</t>
        </is>
      </c>
      <c r="BD877" t="inlineStr">
        <is>
          <t>893431499</t>
        </is>
      </c>
    </row>
    <row r="878">
      <c r="A878" t="inlineStr">
        <is>
          <t>No</t>
        </is>
      </c>
      <c r="B878" t="inlineStr">
        <is>
          <t>PL8704.A2 K54 1972</t>
        </is>
      </c>
      <c r="C878" t="inlineStr">
        <is>
          <t>0                      PL 8704000A  2                  K  54          1972</t>
        </is>
      </c>
      <c r="D878" t="inlineStr">
        <is>
          <t>An anthology of Swahili love poetry / edited and translated by Jan Knappert.</t>
        </is>
      </c>
      <c r="F878" t="inlineStr">
        <is>
          <t>No</t>
        </is>
      </c>
      <c r="G878" t="inlineStr">
        <is>
          <t>1</t>
        </is>
      </c>
      <c r="H878" t="inlineStr">
        <is>
          <t>No</t>
        </is>
      </c>
      <c r="I878" t="inlineStr">
        <is>
          <t>No</t>
        </is>
      </c>
      <c r="J878" t="inlineStr">
        <is>
          <t>0</t>
        </is>
      </c>
      <c r="K878" t="inlineStr">
        <is>
          <t>Knappert, Jan compiler.</t>
        </is>
      </c>
      <c r="L878" t="inlineStr">
        <is>
          <t>Berkeley : University of California Press, 1972.</t>
        </is>
      </c>
      <c r="M878" t="inlineStr">
        <is>
          <t>1972</t>
        </is>
      </c>
      <c r="O878" t="inlineStr">
        <is>
          <t>eng</t>
        </is>
      </c>
      <c r="P878" t="inlineStr">
        <is>
          <t>cau</t>
        </is>
      </c>
      <c r="R878" t="inlineStr">
        <is>
          <t xml:space="preserve">PL </t>
        </is>
      </c>
      <c r="S878" t="n">
        <v>3</v>
      </c>
      <c r="T878" t="n">
        <v>3</v>
      </c>
      <c r="U878" t="inlineStr">
        <is>
          <t>1995-01-16</t>
        </is>
      </c>
      <c r="V878" t="inlineStr">
        <is>
          <t>1995-01-16</t>
        </is>
      </c>
      <c r="W878" t="inlineStr">
        <is>
          <t>1992-06-04</t>
        </is>
      </c>
      <c r="X878" t="inlineStr">
        <is>
          <t>1992-06-04</t>
        </is>
      </c>
      <c r="Y878" t="n">
        <v>325</v>
      </c>
      <c r="Z878" t="n">
        <v>295</v>
      </c>
      <c r="AA878" t="n">
        <v>297</v>
      </c>
      <c r="AB878" t="n">
        <v>2</v>
      </c>
      <c r="AC878" t="n">
        <v>2</v>
      </c>
      <c r="AD878" t="n">
        <v>12</v>
      </c>
      <c r="AE878" t="n">
        <v>12</v>
      </c>
      <c r="AF878" t="n">
        <v>1</v>
      </c>
      <c r="AG878" t="n">
        <v>1</v>
      </c>
      <c r="AH878" t="n">
        <v>3</v>
      </c>
      <c r="AI878" t="n">
        <v>3</v>
      </c>
      <c r="AJ878" t="n">
        <v>9</v>
      </c>
      <c r="AK878" t="n">
        <v>9</v>
      </c>
      <c r="AL878" t="n">
        <v>1</v>
      </c>
      <c r="AM878" t="n">
        <v>1</v>
      </c>
      <c r="AN878" t="n">
        <v>0</v>
      </c>
      <c r="AO878" t="n">
        <v>0</v>
      </c>
      <c r="AP878" t="inlineStr">
        <is>
          <t>No</t>
        </is>
      </c>
      <c r="AQ878" t="inlineStr">
        <is>
          <t>No</t>
        </is>
      </c>
      <c r="AS878">
        <f>HYPERLINK("https://creighton-primo.hosted.exlibrisgroup.com/primo-explore/search?tab=default_tab&amp;search_scope=EVERYTHING&amp;vid=01CRU&amp;lang=en_US&amp;offset=0&amp;query=any,contains,991002656229702656","Catalog Record")</f>
        <v/>
      </c>
      <c r="AT878">
        <f>HYPERLINK("http://www.worldcat.org/oclc/389164","WorldCat Record")</f>
        <v/>
      </c>
      <c r="AU878" t="inlineStr">
        <is>
          <t>4666121170:eng</t>
        </is>
      </c>
      <c r="AV878" t="inlineStr">
        <is>
          <t>389164</t>
        </is>
      </c>
      <c r="AW878" t="inlineStr">
        <is>
          <t>991002656229702656</t>
        </is>
      </c>
      <c r="AX878" t="inlineStr">
        <is>
          <t>991002656229702656</t>
        </is>
      </c>
      <c r="AY878" t="inlineStr">
        <is>
          <t>2256626950002656</t>
        </is>
      </c>
      <c r="AZ878" t="inlineStr">
        <is>
          <t>BOOK</t>
        </is>
      </c>
      <c r="BB878" t="inlineStr">
        <is>
          <t>9780520021778</t>
        </is>
      </c>
      <c r="BC878" t="inlineStr">
        <is>
          <t>32285001130326</t>
        </is>
      </c>
      <c r="BD878" t="inlineStr">
        <is>
          <t>893498373</t>
        </is>
      </c>
    </row>
    <row r="879">
      <c r="A879" t="inlineStr">
        <is>
          <t>No</t>
        </is>
      </c>
      <c r="B879" t="inlineStr">
        <is>
          <t>PL882 .K4</t>
        </is>
      </c>
      <c r="C879" t="inlineStr">
        <is>
          <t>0                      PL 0882000K  4</t>
        </is>
      </c>
      <c r="D879" t="inlineStr">
        <is>
          <t>Anthology of Japanese literature : from the earliest era to the mid-nineteenth century.</t>
        </is>
      </c>
      <c r="F879" t="inlineStr">
        <is>
          <t>No</t>
        </is>
      </c>
      <c r="G879" t="inlineStr">
        <is>
          <t>1</t>
        </is>
      </c>
      <c r="H879" t="inlineStr">
        <is>
          <t>No</t>
        </is>
      </c>
      <c r="I879" t="inlineStr">
        <is>
          <t>Yes</t>
        </is>
      </c>
      <c r="J879" t="inlineStr">
        <is>
          <t>0</t>
        </is>
      </c>
      <c r="K879" t="inlineStr">
        <is>
          <t>Keene, Donald editor.</t>
        </is>
      </c>
      <c r="L879" t="inlineStr">
        <is>
          <t>New York : Grove Press, [1960, c1955]</t>
        </is>
      </c>
      <c r="M879" t="inlineStr">
        <is>
          <t>1960</t>
        </is>
      </c>
      <c r="N879" t="inlineStr">
        <is>
          <t>[1st Evergreen ed.]</t>
        </is>
      </c>
      <c r="O879" t="inlineStr">
        <is>
          <t>eng</t>
        </is>
      </c>
      <c r="P879" t="inlineStr">
        <is>
          <t>nyu</t>
        </is>
      </c>
      <c r="Q879" t="inlineStr">
        <is>
          <t>Evergreen ; E216</t>
        </is>
      </c>
      <c r="R879" t="inlineStr">
        <is>
          <t xml:space="preserve">PL </t>
        </is>
      </c>
      <c r="S879" t="n">
        <v>3</v>
      </c>
      <c r="T879" t="n">
        <v>3</v>
      </c>
      <c r="U879" t="inlineStr">
        <is>
          <t>2008-12-07</t>
        </is>
      </c>
      <c r="V879" t="inlineStr">
        <is>
          <t>2008-12-07</t>
        </is>
      </c>
      <c r="W879" t="inlineStr">
        <is>
          <t>1993-02-26</t>
        </is>
      </c>
      <c r="X879" t="inlineStr">
        <is>
          <t>1993-02-26</t>
        </is>
      </c>
      <c r="Y879" t="n">
        <v>436</v>
      </c>
      <c r="Z879" t="n">
        <v>393</v>
      </c>
      <c r="AA879" t="n">
        <v>1887</v>
      </c>
      <c r="AB879" t="n">
        <v>4</v>
      </c>
      <c r="AC879" t="n">
        <v>13</v>
      </c>
      <c r="AD879" t="n">
        <v>19</v>
      </c>
      <c r="AE879" t="n">
        <v>56</v>
      </c>
      <c r="AF879" t="n">
        <v>7</v>
      </c>
      <c r="AG879" t="n">
        <v>22</v>
      </c>
      <c r="AH879" t="n">
        <v>5</v>
      </c>
      <c r="AI879" t="n">
        <v>10</v>
      </c>
      <c r="AJ879" t="n">
        <v>8</v>
      </c>
      <c r="AK879" t="n">
        <v>24</v>
      </c>
      <c r="AL879" t="n">
        <v>3</v>
      </c>
      <c r="AM879" t="n">
        <v>11</v>
      </c>
      <c r="AN879" t="n">
        <v>0</v>
      </c>
      <c r="AO879" t="n">
        <v>0</v>
      </c>
      <c r="AP879" t="inlineStr">
        <is>
          <t>No</t>
        </is>
      </c>
      <c r="AQ879" t="inlineStr">
        <is>
          <t>Yes</t>
        </is>
      </c>
      <c r="AR879">
        <f>HYPERLINK("http://catalog.hathitrust.org/Record/007134364","HathiTrust Record")</f>
        <v/>
      </c>
      <c r="AS879">
        <f>HYPERLINK("https://creighton-primo.hosted.exlibrisgroup.com/primo-explore/search?tab=default_tab&amp;search_scope=EVERYTHING&amp;vid=01CRU&amp;lang=en_US&amp;offset=0&amp;query=any,contains,991004183719702656","Catalog Record")</f>
        <v/>
      </c>
      <c r="AT879">
        <f>HYPERLINK("http://www.worldcat.org/oclc/2612338","WorldCat Record")</f>
        <v/>
      </c>
      <c r="AU879" t="inlineStr">
        <is>
          <t>54510324:eng</t>
        </is>
      </c>
      <c r="AV879" t="inlineStr">
        <is>
          <t>2612338</t>
        </is>
      </c>
      <c r="AW879" t="inlineStr">
        <is>
          <t>991004183719702656</t>
        </is>
      </c>
      <c r="AX879" t="inlineStr">
        <is>
          <t>991004183719702656</t>
        </is>
      </c>
      <c r="AY879" t="inlineStr">
        <is>
          <t>2271639650002656</t>
        </is>
      </c>
      <c r="AZ879" t="inlineStr">
        <is>
          <t>BOOK</t>
        </is>
      </c>
      <c r="BB879" t="inlineStr">
        <is>
          <t>9780394172217</t>
        </is>
      </c>
      <c r="BC879" t="inlineStr">
        <is>
          <t>32285001539898</t>
        </is>
      </c>
      <c r="BD879" t="inlineStr">
        <is>
          <t>893794571</t>
        </is>
      </c>
    </row>
    <row r="880">
      <c r="A880" t="inlineStr">
        <is>
          <t>No</t>
        </is>
      </c>
      <c r="B880" t="inlineStr">
        <is>
          <t>PL882 .K4 1956</t>
        </is>
      </c>
      <c r="C880" t="inlineStr">
        <is>
          <t>0                      PL 0882000K  4           1956</t>
        </is>
      </c>
      <c r="D880" t="inlineStr">
        <is>
          <t>Anthology of Japanese literature : from the earliest era to the mid-nineteenth century / compiled and edited by Donald Keene.</t>
        </is>
      </c>
      <c r="F880" t="inlineStr">
        <is>
          <t>No</t>
        </is>
      </c>
      <c r="G880" t="inlineStr">
        <is>
          <t>1</t>
        </is>
      </c>
      <c r="H880" t="inlineStr">
        <is>
          <t>No</t>
        </is>
      </c>
      <c r="I880" t="inlineStr">
        <is>
          <t>Yes</t>
        </is>
      </c>
      <c r="J880" t="inlineStr">
        <is>
          <t>0</t>
        </is>
      </c>
      <c r="K880" t="inlineStr">
        <is>
          <t>Keene, Donald editor.</t>
        </is>
      </c>
      <c r="L880" t="inlineStr">
        <is>
          <t>Rutland Vt. : C. E. Tuttle, c1956, 1979 printing.</t>
        </is>
      </c>
      <c r="M880" t="inlineStr">
        <is>
          <t>1971</t>
        </is>
      </c>
      <c r="O880" t="inlineStr">
        <is>
          <t>eng</t>
        </is>
      </c>
      <c r="P880" t="inlineStr">
        <is>
          <t>___</t>
        </is>
      </c>
      <c r="Q880" t="inlineStr">
        <is>
          <t>Tut books</t>
        </is>
      </c>
      <c r="R880" t="inlineStr">
        <is>
          <t xml:space="preserve">PL </t>
        </is>
      </c>
      <c r="S880" t="n">
        <v>9</v>
      </c>
      <c r="T880" t="n">
        <v>9</v>
      </c>
      <c r="U880" t="inlineStr">
        <is>
          <t>2005-04-09</t>
        </is>
      </c>
      <c r="V880" t="inlineStr">
        <is>
          <t>2005-04-09</t>
        </is>
      </c>
      <c r="W880" t="inlineStr">
        <is>
          <t>1993-05-05</t>
        </is>
      </c>
      <c r="X880" t="inlineStr">
        <is>
          <t>1993-05-05</t>
        </is>
      </c>
      <c r="Y880" t="n">
        <v>12</v>
      </c>
      <c r="Z880" t="n">
        <v>6</v>
      </c>
      <c r="AA880" t="n">
        <v>1887</v>
      </c>
      <c r="AB880" t="n">
        <v>1</v>
      </c>
      <c r="AC880" t="n">
        <v>13</v>
      </c>
      <c r="AD880" t="n">
        <v>0</v>
      </c>
      <c r="AE880" t="n">
        <v>56</v>
      </c>
      <c r="AF880" t="n">
        <v>0</v>
      </c>
      <c r="AG880" t="n">
        <v>22</v>
      </c>
      <c r="AH880" t="n">
        <v>0</v>
      </c>
      <c r="AI880" t="n">
        <v>10</v>
      </c>
      <c r="AJ880" t="n">
        <v>0</v>
      </c>
      <c r="AK880" t="n">
        <v>24</v>
      </c>
      <c r="AL880" t="n">
        <v>0</v>
      </c>
      <c r="AM880" t="n">
        <v>11</v>
      </c>
      <c r="AN880" t="n">
        <v>0</v>
      </c>
      <c r="AO880" t="n">
        <v>0</v>
      </c>
      <c r="AP880" t="inlineStr">
        <is>
          <t>No</t>
        </is>
      </c>
      <c r="AQ880" t="inlineStr">
        <is>
          <t>No</t>
        </is>
      </c>
      <c r="AS880">
        <f>HYPERLINK("https://creighton-primo.hosted.exlibrisgroup.com/primo-explore/search?tab=default_tab&amp;search_scope=EVERYTHING&amp;vid=01CRU&amp;lang=en_US&amp;offset=0&amp;query=any,contains,991003098959702656","Catalog Record")</f>
        <v/>
      </c>
      <c r="AT880">
        <f>HYPERLINK("http://www.worldcat.org/oclc/648486","WorldCat Record")</f>
        <v/>
      </c>
      <c r="AU880" t="inlineStr">
        <is>
          <t>54510324:eng</t>
        </is>
      </c>
      <c r="AV880" t="inlineStr">
        <is>
          <t>648486</t>
        </is>
      </c>
      <c r="AW880" t="inlineStr">
        <is>
          <t>991003098959702656</t>
        </is>
      </c>
      <c r="AX880" t="inlineStr">
        <is>
          <t>991003098959702656</t>
        </is>
      </c>
      <c r="AY880" t="inlineStr">
        <is>
          <t>2256422000002656</t>
        </is>
      </c>
      <c r="AZ880" t="inlineStr">
        <is>
          <t>BOOK</t>
        </is>
      </c>
      <c r="BC880" t="inlineStr">
        <is>
          <t>32285001672178</t>
        </is>
      </c>
      <c r="BD880" t="inlineStr">
        <is>
          <t>893317646</t>
        </is>
      </c>
    </row>
    <row r="881">
      <c r="A881" t="inlineStr">
        <is>
          <t>No</t>
        </is>
      </c>
      <c r="B881" t="inlineStr">
        <is>
          <t>PL882 .K43</t>
        </is>
      </c>
      <c r="C881" t="inlineStr">
        <is>
          <t>0                      PL 0882000K  43</t>
        </is>
      </c>
      <c r="D881" t="inlineStr">
        <is>
          <t>Modern Japanese literature, an anthology.</t>
        </is>
      </c>
      <c r="F881" t="inlineStr">
        <is>
          <t>No</t>
        </is>
      </c>
      <c r="G881" t="inlineStr">
        <is>
          <t>1</t>
        </is>
      </c>
      <c r="H881" t="inlineStr">
        <is>
          <t>No</t>
        </is>
      </c>
      <c r="I881" t="inlineStr">
        <is>
          <t>No</t>
        </is>
      </c>
      <c r="J881" t="inlineStr">
        <is>
          <t>0</t>
        </is>
      </c>
      <c r="K881" t="inlineStr">
        <is>
          <t>Keene, Donald.</t>
        </is>
      </c>
      <c r="L881" t="inlineStr">
        <is>
          <t>New York, Grove Press [1956]</t>
        </is>
      </c>
      <c r="M881" t="inlineStr">
        <is>
          <t>1956</t>
        </is>
      </c>
      <c r="O881" t="inlineStr">
        <is>
          <t>eng</t>
        </is>
      </c>
      <c r="P881" t="inlineStr">
        <is>
          <t>nyu</t>
        </is>
      </c>
      <c r="R881" t="inlineStr">
        <is>
          <t xml:space="preserve">PL </t>
        </is>
      </c>
      <c r="S881" t="n">
        <v>8</v>
      </c>
      <c r="T881" t="n">
        <v>8</v>
      </c>
      <c r="U881" t="inlineStr">
        <is>
          <t>2001-03-05</t>
        </is>
      </c>
      <c r="V881" t="inlineStr">
        <is>
          <t>2001-03-05</t>
        </is>
      </c>
      <c r="W881" t="inlineStr">
        <is>
          <t>1997-09-16</t>
        </is>
      </c>
      <c r="X881" t="inlineStr">
        <is>
          <t>1997-09-16</t>
        </is>
      </c>
      <c r="Y881" t="n">
        <v>1361</v>
      </c>
      <c r="Z881" t="n">
        <v>1262</v>
      </c>
      <c r="AA881" t="n">
        <v>1617</v>
      </c>
      <c r="AB881" t="n">
        <v>10</v>
      </c>
      <c r="AC881" t="n">
        <v>11</v>
      </c>
      <c r="AD881" t="n">
        <v>40</v>
      </c>
      <c r="AE881" t="n">
        <v>53</v>
      </c>
      <c r="AF881" t="n">
        <v>15</v>
      </c>
      <c r="AG881" t="n">
        <v>23</v>
      </c>
      <c r="AH881" t="n">
        <v>6</v>
      </c>
      <c r="AI881" t="n">
        <v>9</v>
      </c>
      <c r="AJ881" t="n">
        <v>18</v>
      </c>
      <c r="AK881" t="n">
        <v>25</v>
      </c>
      <c r="AL881" t="n">
        <v>8</v>
      </c>
      <c r="AM881" t="n">
        <v>9</v>
      </c>
      <c r="AN881" t="n">
        <v>0</v>
      </c>
      <c r="AO881" t="n">
        <v>0</v>
      </c>
      <c r="AP881" t="inlineStr">
        <is>
          <t>No</t>
        </is>
      </c>
      <c r="AQ881" t="inlineStr">
        <is>
          <t>Yes</t>
        </is>
      </c>
      <c r="AR881">
        <f>HYPERLINK("http://catalog.hathitrust.org/Record/001184916","HathiTrust Record")</f>
        <v/>
      </c>
      <c r="AS881">
        <f>HYPERLINK("https://creighton-primo.hosted.exlibrisgroup.com/primo-explore/search?tab=default_tab&amp;search_scope=EVERYTHING&amp;vid=01CRU&amp;lang=en_US&amp;offset=0&amp;query=any,contains,991003411729702656","Catalog Record")</f>
        <v/>
      </c>
      <c r="AT881">
        <f>HYPERLINK("http://www.worldcat.org/oclc/949858","WorldCat Record")</f>
        <v/>
      </c>
      <c r="AU881" t="inlineStr">
        <is>
          <t>3855257446:eng</t>
        </is>
      </c>
      <c r="AV881" t="inlineStr">
        <is>
          <t>949858</t>
        </is>
      </c>
      <c r="AW881" t="inlineStr">
        <is>
          <t>991003411729702656</t>
        </is>
      </c>
      <c r="AX881" t="inlineStr">
        <is>
          <t>991003411729702656</t>
        </is>
      </c>
      <c r="AY881" t="inlineStr">
        <is>
          <t>2263036550002656</t>
        </is>
      </c>
      <c r="AZ881" t="inlineStr">
        <is>
          <t>BOOK</t>
        </is>
      </c>
      <c r="BC881" t="inlineStr">
        <is>
          <t>32285003224580</t>
        </is>
      </c>
      <c r="BD881" t="inlineStr">
        <is>
          <t>893809975</t>
        </is>
      </c>
    </row>
    <row r="882">
      <c r="A882" t="inlineStr">
        <is>
          <t>No</t>
        </is>
      </c>
      <c r="B882" t="inlineStr">
        <is>
          <t>PL884 .R4 1964</t>
        </is>
      </c>
      <c r="C882" t="inlineStr">
        <is>
          <t>0                      PL 0884000R  4           1964</t>
        </is>
      </c>
      <c r="D882" t="inlineStr">
        <is>
          <t>One hundred poems from the Japanese / Kenneth Rexroth.</t>
        </is>
      </c>
      <c r="F882" t="inlineStr">
        <is>
          <t>No</t>
        </is>
      </c>
      <c r="G882" t="inlineStr">
        <is>
          <t>1</t>
        </is>
      </c>
      <c r="H882" t="inlineStr">
        <is>
          <t>No</t>
        </is>
      </c>
      <c r="I882" t="inlineStr">
        <is>
          <t>No</t>
        </is>
      </c>
      <c r="J882" t="inlineStr">
        <is>
          <t>0</t>
        </is>
      </c>
      <c r="K882" t="inlineStr">
        <is>
          <t>Rexroth, Kenneth, 1905-1982.</t>
        </is>
      </c>
      <c r="L882" t="inlineStr">
        <is>
          <t>New York : New Directions, 1964.</t>
        </is>
      </c>
      <c r="M882" t="inlineStr">
        <is>
          <t>1964</t>
        </is>
      </c>
      <c r="O882" t="inlineStr">
        <is>
          <t>eng</t>
        </is>
      </c>
      <c r="P882" t="inlineStr">
        <is>
          <t>___</t>
        </is>
      </c>
      <c r="Q882" t="inlineStr">
        <is>
          <t>ND paperbook 147</t>
        </is>
      </c>
      <c r="R882" t="inlineStr">
        <is>
          <t xml:space="preserve">PL </t>
        </is>
      </c>
      <c r="S882" t="n">
        <v>4</v>
      </c>
      <c r="T882" t="n">
        <v>4</v>
      </c>
      <c r="U882" t="inlineStr">
        <is>
          <t>1997-12-22</t>
        </is>
      </c>
      <c r="V882" t="inlineStr">
        <is>
          <t>1997-12-22</t>
        </is>
      </c>
      <c r="W882" t="inlineStr">
        <is>
          <t>1992-01-14</t>
        </is>
      </c>
      <c r="X882" t="inlineStr">
        <is>
          <t>1992-01-14</t>
        </is>
      </c>
      <c r="Y882" t="n">
        <v>586</v>
      </c>
      <c r="Z882" t="n">
        <v>559</v>
      </c>
      <c r="AA882" t="n">
        <v>1213</v>
      </c>
      <c r="AB882" t="n">
        <v>2</v>
      </c>
      <c r="AC882" t="n">
        <v>10</v>
      </c>
      <c r="AD882" t="n">
        <v>12</v>
      </c>
      <c r="AE882" t="n">
        <v>33</v>
      </c>
      <c r="AF882" t="n">
        <v>8</v>
      </c>
      <c r="AG882" t="n">
        <v>12</v>
      </c>
      <c r="AH882" t="n">
        <v>2</v>
      </c>
      <c r="AI882" t="n">
        <v>7</v>
      </c>
      <c r="AJ882" t="n">
        <v>6</v>
      </c>
      <c r="AK882" t="n">
        <v>14</v>
      </c>
      <c r="AL882" t="n">
        <v>0</v>
      </c>
      <c r="AM882" t="n">
        <v>7</v>
      </c>
      <c r="AN882" t="n">
        <v>0</v>
      </c>
      <c r="AO882" t="n">
        <v>0</v>
      </c>
      <c r="AP882" t="inlineStr">
        <is>
          <t>No</t>
        </is>
      </c>
      <c r="AQ882" t="inlineStr">
        <is>
          <t>No</t>
        </is>
      </c>
      <c r="AS882">
        <f>HYPERLINK("https://creighton-primo.hosted.exlibrisgroup.com/primo-explore/search?tab=default_tab&amp;search_scope=EVERYTHING&amp;vid=01CRU&amp;lang=en_US&amp;offset=0&amp;query=any,contains,991003407129702656","Catalog Record")</f>
        <v/>
      </c>
      <c r="AT882">
        <f>HYPERLINK("http://www.worldcat.org/oclc/8071409","WorldCat Record")</f>
        <v/>
      </c>
      <c r="AU882" t="inlineStr">
        <is>
          <t>57478268:eng</t>
        </is>
      </c>
      <c r="AV882" t="inlineStr">
        <is>
          <t>8071409</t>
        </is>
      </c>
      <c r="AW882" t="inlineStr">
        <is>
          <t>991003407129702656</t>
        </is>
      </c>
      <c r="AX882" t="inlineStr">
        <is>
          <t>991003407129702656</t>
        </is>
      </c>
      <c r="AY882" t="inlineStr">
        <is>
          <t>2266292350002656</t>
        </is>
      </c>
      <c r="AZ882" t="inlineStr">
        <is>
          <t>BOOK</t>
        </is>
      </c>
      <c r="BC882" t="inlineStr">
        <is>
          <t>32285000897578</t>
        </is>
      </c>
      <c r="BD882" t="inlineStr">
        <is>
          <t>893698981</t>
        </is>
      </c>
    </row>
    <row r="883">
      <c r="A883" t="inlineStr">
        <is>
          <t>No</t>
        </is>
      </c>
      <c r="B883" t="inlineStr">
        <is>
          <t>PL890.O5 .D4</t>
        </is>
      </c>
      <c r="C883" t="inlineStr">
        <is>
          <t>0                      PL 0890000O  5                  D  4</t>
        </is>
      </c>
      <c r="D883" t="inlineStr">
        <is>
          <t>Tales of the samurai; Oguri Hangwan ichidaiki, being the story of the lives, the adventures of the Hangwan-dai Kojirō Sukeshige and Terutehime, his wife. &lt;A redaction from the kōdan anc chronicles of the Japanese originals&gt; by James S. de Benneville.</t>
        </is>
      </c>
      <c r="F883" t="inlineStr">
        <is>
          <t>No</t>
        </is>
      </c>
      <c r="G883" t="inlineStr">
        <is>
          <t>1</t>
        </is>
      </c>
      <c r="H883" t="inlineStr">
        <is>
          <t>No</t>
        </is>
      </c>
      <c r="I883" t="inlineStr">
        <is>
          <t>No</t>
        </is>
      </c>
      <c r="J883" t="inlineStr">
        <is>
          <t>0</t>
        </is>
      </c>
      <c r="K883" t="inlineStr">
        <is>
          <t>De Benneville, James S. (James Seguin)</t>
        </is>
      </c>
      <c r="L883" t="inlineStr">
        <is>
          <t>Yokohama [The Fukuin Printing Co., Ltd.] 1915.</t>
        </is>
      </c>
      <c r="M883" t="inlineStr">
        <is>
          <t>1915</t>
        </is>
      </c>
      <c r="O883" t="inlineStr">
        <is>
          <t>eng</t>
        </is>
      </c>
      <c r="P883" t="inlineStr">
        <is>
          <t xml:space="preserve">xx </t>
        </is>
      </c>
      <c r="R883" t="inlineStr">
        <is>
          <t xml:space="preserve">PL </t>
        </is>
      </c>
      <c r="S883" t="n">
        <v>2</v>
      </c>
      <c r="T883" t="n">
        <v>2</v>
      </c>
      <c r="U883" t="inlineStr">
        <is>
          <t>2005-01-31</t>
        </is>
      </c>
      <c r="V883" t="inlineStr">
        <is>
          <t>2005-01-31</t>
        </is>
      </c>
      <c r="W883" t="inlineStr">
        <is>
          <t>1997-09-16</t>
        </is>
      </c>
      <c r="X883" t="inlineStr">
        <is>
          <t>1997-09-16</t>
        </is>
      </c>
      <c r="Y883" t="n">
        <v>128</v>
      </c>
      <c r="Z883" t="n">
        <v>123</v>
      </c>
      <c r="AA883" t="n">
        <v>207</v>
      </c>
      <c r="AB883" t="n">
        <v>2</v>
      </c>
      <c r="AC883" t="n">
        <v>3</v>
      </c>
      <c r="AD883" t="n">
        <v>7</v>
      </c>
      <c r="AE883" t="n">
        <v>13</v>
      </c>
      <c r="AF883" t="n">
        <v>2</v>
      </c>
      <c r="AG883" t="n">
        <v>4</v>
      </c>
      <c r="AH883" t="n">
        <v>0</v>
      </c>
      <c r="AI883" t="n">
        <v>2</v>
      </c>
      <c r="AJ883" t="n">
        <v>4</v>
      </c>
      <c r="AK883" t="n">
        <v>7</v>
      </c>
      <c r="AL883" t="n">
        <v>1</v>
      </c>
      <c r="AM883" t="n">
        <v>2</v>
      </c>
      <c r="AN883" t="n">
        <v>0</v>
      </c>
      <c r="AO883" t="n">
        <v>0</v>
      </c>
      <c r="AP883" t="inlineStr">
        <is>
          <t>No</t>
        </is>
      </c>
      <c r="AQ883" t="inlineStr">
        <is>
          <t>No</t>
        </is>
      </c>
      <c r="AS883">
        <f>HYPERLINK("https://creighton-primo.hosted.exlibrisgroup.com/primo-explore/search?tab=default_tab&amp;search_scope=EVERYTHING&amp;vid=01CRU&amp;lang=en_US&amp;offset=0&amp;query=any,contains,991001919599702656","Catalog Record")</f>
        <v/>
      </c>
      <c r="AT883">
        <f>HYPERLINK("http://www.worldcat.org/oclc/244662","WorldCat Record")</f>
        <v/>
      </c>
      <c r="AU883" t="inlineStr">
        <is>
          <t>291801467:eng</t>
        </is>
      </c>
      <c r="AV883" t="inlineStr">
        <is>
          <t>244662</t>
        </is>
      </c>
      <c r="AW883" t="inlineStr">
        <is>
          <t>991001919599702656</t>
        </is>
      </c>
      <c r="AX883" t="inlineStr">
        <is>
          <t>991001919599702656</t>
        </is>
      </c>
      <c r="AY883" t="inlineStr">
        <is>
          <t>2270023820002656</t>
        </is>
      </c>
      <c r="AZ883" t="inlineStr">
        <is>
          <t>BOOK</t>
        </is>
      </c>
      <c r="BC883" t="inlineStr">
        <is>
          <t>32285003224606</t>
        </is>
      </c>
      <c r="BD883" t="inlineStr">
        <is>
          <t>893785506</t>
        </is>
      </c>
    </row>
    <row r="884">
      <c r="A884" t="inlineStr">
        <is>
          <t>No</t>
        </is>
      </c>
      <c r="B884" t="inlineStr">
        <is>
          <t>PL950 .L4</t>
        </is>
      </c>
      <c r="C884" t="inlineStr">
        <is>
          <t>0                      PL 0950000L  4</t>
        </is>
      </c>
      <c r="D884" t="inlineStr">
        <is>
          <t>Korean literature : topics and themes / [by] Peter H. Lee.</t>
        </is>
      </c>
      <c r="F884" t="inlineStr">
        <is>
          <t>No</t>
        </is>
      </c>
      <c r="G884" t="inlineStr">
        <is>
          <t>1</t>
        </is>
      </c>
      <c r="H884" t="inlineStr">
        <is>
          <t>No</t>
        </is>
      </c>
      <c r="I884" t="inlineStr">
        <is>
          <t>No</t>
        </is>
      </c>
      <c r="J884" t="inlineStr">
        <is>
          <t>0</t>
        </is>
      </c>
      <c r="K884" t="inlineStr">
        <is>
          <t>Lee, Peter H., 1929-</t>
        </is>
      </c>
      <c r="L884" t="inlineStr">
        <is>
          <t>Tucson : Published for the Association for Asian Studies by the University of Arizona Press, 1965.</t>
        </is>
      </c>
      <c r="M884" t="inlineStr">
        <is>
          <t>1965</t>
        </is>
      </c>
      <c r="O884" t="inlineStr">
        <is>
          <t>eng</t>
        </is>
      </c>
      <c r="P884" t="inlineStr">
        <is>
          <t>azu</t>
        </is>
      </c>
      <c r="Q884" t="inlineStr">
        <is>
          <t>Association for Asian Studies. Monographs and papers, 16</t>
        </is>
      </c>
      <c r="R884" t="inlineStr">
        <is>
          <t xml:space="preserve">PL </t>
        </is>
      </c>
      <c r="S884" t="n">
        <v>3</v>
      </c>
      <c r="T884" t="n">
        <v>3</v>
      </c>
      <c r="U884" t="inlineStr">
        <is>
          <t>1992-10-14</t>
        </is>
      </c>
      <c r="V884" t="inlineStr">
        <is>
          <t>1992-10-14</t>
        </is>
      </c>
      <c r="W884" t="inlineStr">
        <is>
          <t>1991-09-24</t>
        </is>
      </c>
      <c r="X884" t="inlineStr">
        <is>
          <t>1991-09-24</t>
        </is>
      </c>
      <c r="Y884" t="n">
        <v>484</v>
      </c>
      <c r="Z884" t="n">
        <v>448</v>
      </c>
      <c r="AA884" t="n">
        <v>476</v>
      </c>
      <c r="AB884" t="n">
        <v>4</v>
      </c>
      <c r="AC884" t="n">
        <v>4</v>
      </c>
      <c r="AD884" t="n">
        <v>19</v>
      </c>
      <c r="AE884" t="n">
        <v>20</v>
      </c>
      <c r="AF884" t="n">
        <v>5</v>
      </c>
      <c r="AG884" t="n">
        <v>6</v>
      </c>
      <c r="AH884" t="n">
        <v>5</v>
      </c>
      <c r="AI884" t="n">
        <v>5</v>
      </c>
      <c r="AJ884" t="n">
        <v>10</v>
      </c>
      <c r="AK884" t="n">
        <v>11</v>
      </c>
      <c r="AL884" t="n">
        <v>3</v>
      </c>
      <c r="AM884" t="n">
        <v>3</v>
      </c>
      <c r="AN884" t="n">
        <v>0</v>
      </c>
      <c r="AO884" t="n">
        <v>0</v>
      </c>
      <c r="AP884" t="inlineStr">
        <is>
          <t>No</t>
        </is>
      </c>
      <c r="AQ884" t="inlineStr">
        <is>
          <t>Yes</t>
        </is>
      </c>
      <c r="AR884">
        <f>HYPERLINK("http://catalog.hathitrust.org/Record/003095630","HathiTrust Record")</f>
        <v/>
      </c>
      <c r="AS884">
        <f>HYPERLINK("https://creighton-primo.hosted.exlibrisgroup.com/primo-explore/search?tab=default_tab&amp;search_scope=EVERYTHING&amp;vid=01CRU&amp;lang=en_US&amp;offset=0&amp;query=any,contains,991002380159702656","Catalog Record")</f>
        <v/>
      </c>
      <c r="AT884">
        <f>HYPERLINK("http://www.worldcat.org/oclc/328106","WorldCat Record")</f>
        <v/>
      </c>
      <c r="AU884" t="inlineStr">
        <is>
          <t>7377598:eng</t>
        </is>
      </c>
      <c r="AV884" t="inlineStr">
        <is>
          <t>328106</t>
        </is>
      </c>
      <c r="AW884" t="inlineStr">
        <is>
          <t>991002380159702656</t>
        </is>
      </c>
      <c r="AX884" t="inlineStr">
        <is>
          <t>991002380159702656</t>
        </is>
      </c>
      <c r="AY884" t="inlineStr">
        <is>
          <t>2271557390002656</t>
        </is>
      </c>
      <c r="AZ884" t="inlineStr">
        <is>
          <t>BOOK</t>
        </is>
      </c>
      <c r="BC884" t="inlineStr">
        <is>
          <t>32285000760651</t>
        </is>
      </c>
      <c r="BD884" t="inlineStr">
        <is>
          <t>893792383</t>
        </is>
      </c>
    </row>
    <row r="885">
      <c r="A885" t="inlineStr">
        <is>
          <t>No</t>
        </is>
      </c>
      <c r="B885" t="inlineStr">
        <is>
          <t>PL971 .K67 1989</t>
        </is>
      </c>
      <c r="C885" t="inlineStr">
        <is>
          <t>0                      PL 0971000K  67          1989</t>
        </is>
      </c>
      <c r="D885" t="inlineStr">
        <is>
          <t>Korean classical literature : an anthology / edited by Chung Chong-wha.</t>
        </is>
      </c>
      <c r="F885" t="inlineStr">
        <is>
          <t>No</t>
        </is>
      </c>
      <c r="G885" t="inlineStr">
        <is>
          <t>1</t>
        </is>
      </c>
      <c r="H885" t="inlineStr">
        <is>
          <t>No</t>
        </is>
      </c>
      <c r="I885" t="inlineStr">
        <is>
          <t>No</t>
        </is>
      </c>
      <c r="J885" t="inlineStr">
        <is>
          <t>0</t>
        </is>
      </c>
      <c r="L885" t="inlineStr">
        <is>
          <t>London ; New York : Kegan Paul International, 1989.</t>
        </is>
      </c>
      <c r="M885" t="inlineStr">
        <is>
          <t>1989</t>
        </is>
      </c>
      <c r="O885" t="inlineStr">
        <is>
          <t>eng</t>
        </is>
      </c>
      <c r="P885" t="inlineStr">
        <is>
          <t>enk</t>
        </is>
      </c>
      <c r="R885" t="inlineStr">
        <is>
          <t xml:space="preserve">PL </t>
        </is>
      </c>
      <c r="S885" t="n">
        <v>2</v>
      </c>
      <c r="T885" t="n">
        <v>2</v>
      </c>
      <c r="U885" t="inlineStr">
        <is>
          <t>1996-09-04</t>
        </is>
      </c>
      <c r="V885" t="inlineStr">
        <is>
          <t>1996-09-04</t>
        </is>
      </c>
      <c r="W885" t="inlineStr">
        <is>
          <t>1990-03-27</t>
        </is>
      </c>
      <c r="X885" t="inlineStr">
        <is>
          <t>1990-03-27</t>
        </is>
      </c>
      <c r="Y885" t="n">
        <v>281</v>
      </c>
      <c r="Z885" t="n">
        <v>206</v>
      </c>
      <c r="AA885" t="n">
        <v>224</v>
      </c>
      <c r="AB885" t="n">
        <v>3</v>
      </c>
      <c r="AC885" t="n">
        <v>3</v>
      </c>
      <c r="AD885" t="n">
        <v>9</v>
      </c>
      <c r="AE885" t="n">
        <v>9</v>
      </c>
      <c r="AF885" t="n">
        <v>2</v>
      </c>
      <c r="AG885" t="n">
        <v>2</v>
      </c>
      <c r="AH885" t="n">
        <v>2</v>
      </c>
      <c r="AI885" t="n">
        <v>2</v>
      </c>
      <c r="AJ885" t="n">
        <v>5</v>
      </c>
      <c r="AK885" t="n">
        <v>5</v>
      </c>
      <c r="AL885" t="n">
        <v>2</v>
      </c>
      <c r="AM885" t="n">
        <v>2</v>
      </c>
      <c r="AN885" t="n">
        <v>0</v>
      </c>
      <c r="AO885" t="n">
        <v>0</v>
      </c>
      <c r="AP885" t="inlineStr">
        <is>
          <t>No</t>
        </is>
      </c>
      <c r="AQ885" t="inlineStr">
        <is>
          <t>Yes</t>
        </is>
      </c>
      <c r="AR885">
        <f>HYPERLINK("http://catalog.hathitrust.org/Record/001832817","HathiTrust Record")</f>
        <v/>
      </c>
      <c r="AS885">
        <f>HYPERLINK("https://creighton-primo.hosted.exlibrisgroup.com/primo-explore/search?tab=default_tab&amp;search_scope=EVERYTHING&amp;vid=01CRU&amp;lang=en_US&amp;offset=0&amp;query=any,contains,991001603859702656","Catalog Record")</f>
        <v/>
      </c>
      <c r="AT885">
        <f>HYPERLINK("http://www.worldcat.org/oclc/20689804","WorldCat Record")</f>
        <v/>
      </c>
      <c r="AU885" t="inlineStr">
        <is>
          <t>836749795:eng</t>
        </is>
      </c>
      <c r="AV885" t="inlineStr">
        <is>
          <t>20689804</t>
        </is>
      </c>
      <c r="AW885" t="inlineStr">
        <is>
          <t>991001603859702656</t>
        </is>
      </c>
      <c r="AX885" t="inlineStr">
        <is>
          <t>991001603859702656</t>
        </is>
      </c>
      <c r="AY885" t="inlineStr">
        <is>
          <t>2261278470002656</t>
        </is>
      </c>
      <c r="AZ885" t="inlineStr">
        <is>
          <t>BOOK</t>
        </is>
      </c>
      <c r="BB885" t="inlineStr">
        <is>
          <t>9780710302793</t>
        </is>
      </c>
      <c r="BC885" t="inlineStr">
        <is>
          <t>32285000084078</t>
        </is>
      </c>
      <c r="BD885" t="inlineStr">
        <is>
          <t>893897904</t>
        </is>
      </c>
    </row>
    <row r="886">
      <c r="A886" t="inlineStr">
        <is>
          <t>No</t>
        </is>
      </c>
      <c r="B886" t="inlineStr">
        <is>
          <t>PL984.E3 C65 2002</t>
        </is>
      </c>
      <c r="C886" t="inlineStr">
        <is>
          <t>0                      PL 0984000E  3                  C  65          2002</t>
        </is>
      </c>
      <c r="D886" t="inlineStr">
        <is>
          <t>The Columbia anthology of traditional Korean poetry / edited by Peter H. Lee.</t>
        </is>
      </c>
      <c r="F886" t="inlineStr">
        <is>
          <t>No</t>
        </is>
      </c>
      <c r="G886" t="inlineStr">
        <is>
          <t>1</t>
        </is>
      </c>
      <c r="H886" t="inlineStr">
        <is>
          <t>No</t>
        </is>
      </c>
      <c r="I886" t="inlineStr">
        <is>
          <t>No</t>
        </is>
      </c>
      <c r="J886" t="inlineStr">
        <is>
          <t>0</t>
        </is>
      </c>
      <c r="L886" t="inlineStr">
        <is>
          <t>New York : Columbia University Press, c2002.</t>
        </is>
      </c>
      <c r="M886" t="inlineStr">
        <is>
          <t>2002</t>
        </is>
      </c>
      <c r="O886" t="inlineStr">
        <is>
          <t>eng</t>
        </is>
      </c>
      <c r="P886" t="inlineStr">
        <is>
          <t>nyu</t>
        </is>
      </c>
      <c r="Q886" t="inlineStr">
        <is>
          <t>Translations from the Asian classics</t>
        </is>
      </c>
      <c r="R886" t="inlineStr">
        <is>
          <t xml:space="preserve">PL </t>
        </is>
      </c>
      <c r="S886" t="n">
        <v>1</v>
      </c>
      <c r="T886" t="n">
        <v>1</v>
      </c>
      <c r="U886" t="inlineStr">
        <is>
          <t>2003-12-11</t>
        </is>
      </c>
      <c r="V886" t="inlineStr">
        <is>
          <t>2003-12-11</t>
        </is>
      </c>
      <c r="W886" t="inlineStr">
        <is>
          <t>2003-12-11</t>
        </is>
      </c>
      <c r="X886" t="inlineStr">
        <is>
          <t>2003-12-11</t>
        </is>
      </c>
      <c r="Y886" t="n">
        <v>472</v>
      </c>
      <c r="Z886" t="n">
        <v>420</v>
      </c>
      <c r="AA886" t="n">
        <v>614</v>
      </c>
      <c r="AB886" t="n">
        <v>2</v>
      </c>
      <c r="AC886" t="n">
        <v>2</v>
      </c>
      <c r="AD886" t="n">
        <v>16</v>
      </c>
      <c r="AE886" t="n">
        <v>28</v>
      </c>
      <c r="AF886" t="n">
        <v>9</v>
      </c>
      <c r="AG886" t="n">
        <v>16</v>
      </c>
      <c r="AH886" t="n">
        <v>4</v>
      </c>
      <c r="AI886" t="n">
        <v>7</v>
      </c>
      <c r="AJ886" t="n">
        <v>6</v>
      </c>
      <c r="AK886" t="n">
        <v>12</v>
      </c>
      <c r="AL886" t="n">
        <v>1</v>
      </c>
      <c r="AM886" t="n">
        <v>1</v>
      </c>
      <c r="AN886" t="n">
        <v>0</v>
      </c>
      <c r="AO886" t="n">
        <v>0</v>
      </c>
      <c r="AP886" t="inlineStr">
        <is>
          <t>No</t>
        </is>
      </c>
      <c r="AQ886" t="inlineStr">
        <is>
          <t>No</t>
        </is>
      </c>
      <c r="AS886">
        <f>HYPERLINK("https://creighton-primo.hosted.exlibrisgroup.com/primo-explore/search?tab=default_tab&amp;search_scope=EVERYTHING&amp;vid=01CRU&amp;lang=en_US&amp;offset=0&amp;query=any,contains,991004163919702656","Catalog Record")</f>
        <v/>
      </c>
      <c r="AT886">
        <f>HYPERLINK("http://www.worldcat.org/oclc/49647742","WorldCat Record")</f>
        <v/>
      </c>
      <c r="AU886" t="inlineStr">
        <is>
          <t>309235319:eng</t>
        </is>
      </c>
      <c r="AV886" t="inlineStr">
        <is>
          <t>49647742</t>
        </is>
      </c>
      <c r="AW886" t="inlineStr">
        <is>
          <t>991004163919702656</t>
        </is>
      </c>
      <c r="AX886" t="inlineStr">
        <is>
          <t>991004163919702656</t>
        </is>
      </c>
      <c r="AY886" t="inlineStr">
        <is>
          <t>2271290690002656</t>
        </is>
      </c>
      <c r="AZ886" t="inlineStr">
        <is>
          <t>BOOK</t>
        </is>
      </c>
      <c r="BB886" t="inlineStr">
        <is>
          <t>9780231111126</t>
        </is>
      </c>
      <c r="BC886" t="inlineStr">
        <is>
          <t>32285004846092</t>
        </is>
      </c>
      <c r="BD886" t="inlineStr">
        <is>
          <t>893429733</t>
        </is>
      </c>
    </row>
    <row r="887">
      <c r="A887" t="inlineStr">
        <is>
          <t>No</t>
        </is>
      </c>
      <c r="B887" t="inlineStr">
        <is>
          <t>PL984.E3 P3</t>
        </is>
      </c>
      <c r="C887" t="inlineStr">
        <is>
          <t>0                      PL 0984000E  3                  P  3</t>
        </is>
      </c>
      <c r="D887" t="inlineStr">
        <is>
          <t>The ever white mountain : Korean lyrics in the classical Sijo form / translated and edited by Inez Kong Pai. With illus. by Taishin Kin.</t>
        </is>
      </c>
      <c r="F887" t="inlineStr">
        <is>
          <t>No</t>
        </is>
      </c>
      <c r="G887" t="inlineStr">
        <is>
          <t>1</t>
        </is>
      </c>
      <c r="H887" t="inlineStr">
        <is>
          <t>No</t>
        </is>
      </c>
      <c r="I887" t="inlineStr">
        <is>
          <t>No</t>
        </is>
      </c>
      <c r="J887" t="inlineStr">
        <is>
          <t>0</t>
        </is>
      </c>
      <c r="K887" t="inlineStr">
        <is>
          <t>Pai, Inez Kong, editor, translator.</t>
        </is>
      </c>
      <c r="L887" t="inlineStr">
        <is>
          <t>Rutland, Vt. : Tuttle, [1965]</t>
        </is>
      </c>
      <c r="M887" t="inlineStr">
        <is>
          <t>1965</t>
        </is>
      </c>
      <c r="N887" t="inlineStr">
        <is>
          <t>[1st ed.]</t>
        </is>
      </c>
      <c r="O887" t="inlineStr">
        <is>
          <t>eng</t>
        </is>
      </c>
      <c r="P887" t="inlineStr">
        <is>
          <t>vtu</t>
        </is>
      </c>
      <c r="R887" t="inlineStr">
        <is>
          <t xml:space="preserve">PL </t>
        </is>
      </c>
      <c r="S887" t="n">
        <v>1</v>
      </c>
      <c r="T887" t="n">
        <v>1</v>
      </c>
      <c r="U887" t="inlineStr">
        <is>
          <t>2008-11-04</t>
        </is>
      </c>
      <c r="V887" t="inlineStr">
        <is>
          <t>2008-11-04</t>
        </is>
      </c>
      <c r="W887" t="inlineStr">
        <is>
          <t>1991-09-24</t>
        </is>
      </c>
      <c r="X887" t="inlineStr">
        <is>
          <t>1991-09-24</t>
        </is>
      </c>
      <c r="Y887" t="n">
        <v>198</v>
      </c>
      <c r="Z887" t="n">
        <v>182</v>
      </c>
      <c r="AA887" t="n">
        <v>196</v>
      </c>
      <c r="AB887" t="n">
        <v>3</v>
      </c>
      <c r="AC887" t="n">
        <v>3</v>
      </c>
      <c r="AD887" t="n">
        <v>4</v>
      </c>
      <c r="AE887" t="n">
        <v>4</v>
      </c>
      <c r="AF887" t="n">
        <v>1</v>
      </c>
      <c r="AG887" t="n">
        <v>1</v>
      </c>
      <c r="AH887" t="n">
        <v>1</v>
      </c>
      <c r="AI887" t="n">
        <v>1</v>
      </c>
      <c r="AJ887" t="n">
        <v>1</v>
      </c>
      <c r="AK887" t="n">
        <v>1</v>
      </c>
      <c r="AL887" t="n">
        <v>2</v>
      </c>
      <c r="AM887" t="n">
        <v>2</v>
      </c>
      <c r="AN887" t="n">
        <v>0</v>
      </c>
      <c r="AO887" t="n">
        <v>0</v>
      </c>
      <c r="AP887" t="inlineStr">
        <is>
          <t>No</t>
        </is>
      </c>
      <c r="AQ887" t="inlineStr">
        <is>
          <t>Yes</t>
        </is>
      </c>
      <c r="AR887">
        <f>HYPERLINK("http://catalog.hathitrust.org/Record/001184978","HathiTrust Record")</f>
        <v/>
      </c>
      <c r="AS887">
        <f>HYPERLINK("https://creighton-primo.hosted.exlibrisgroup.com/primo-explore/search?tab=default_tab&amp;search_scope=EVERYTHING&amp;vid=01CRU&amp;lang=en_US&amp;offset=0&amp;query=any,contains,991003490939702656","Catalog Record")</f>
        <v/>
      </c>
      <c r="AT887">
        <f>HYPERLINK("http://www.worldcat.org/oclc/1040148","WorldCat Record")</f>
        <v/>
      </c>
      <c r="AU887" t="inlineStr">
        <is>
          <t>2005150:eng</t>
        </is>
      </c>
      <c r="AV887" t="inlineStr">
        <is>
          <t>1040148</t>
        </is>
      </c>
      <c r="AW887" t="inlineStr">
        <is>
          <t>991003490939702656</t>
        </is>
      </c>
      <c r="AX887" t="inlineStr">
        <is>
          <t>991003490939702656</t>
        </is>
      </c>
      <c r="AY887" t="inlineStr">
        <is>
          <t>2272190420002656</t>
        </is>
      </c>
      <c r="AZ887" t="inlineStr">
        <is>
          <t>BOOK</t>
        </is>
      </c>
      <c r="BC887" t="inlineStr">
        <is>
          <t>32285000760669</t>
        </is>
      </c>
      <c r="BD887" t="inlineStr">
        <is>
          <t>893705271</t>
        </is>
      </c>
    </row>
    <row r="888">
      <c r="A888" t="inlineStr">
        <is>
          <t>No</t>
        </is>
      </c>
      <c r="B888" t="inlineStr">
        <is>
          <t>PL998.U52 F73 2005</t>
        </is>
      </c>
      <c r="C888" t="inlineStr">
        <is>
          <t>0                      PL 0998000U  52                 F  73          2005</t>
        </is>
      </c>
      <c r="D888" t="inlineStr">
        <is>
          <t>Fragrance of poetry : Korean-American literature / edited by Yearn Hong Choi.</t>
        </is>
      </c>
      <c r="F888" t="inlineStr">
        <is>
          <t>No</t>
        </is>
      </c>
      <c r="G888" t="inlineStr">
        <is>
          <t>1</t>
        </is>
      </c>
      <c r="H888" t="inlineStr">
        <is>
          <t>No</t>
        </is>
      </c>
      <c r="I888" t="inlineStr">
        <is>
          <t>No</t>
        </is>
      </c>
      <c r="J888" t="inlineStr">
        <is>
          <t>0</t>
        </is>
      </c>
      <c r="L888" t="inlineStr">
        <is>
          <t>Dumont, NJ : Homa &amp; Sekey Books, c2005.</t>
        </is>
      </c>
      <c r="M888" t="inlineStr">
        <is>
          <t>2005</t>
        </is>
      </c>
      <c r="N888" t="inlineStr">
        <is>
          <t>1st ed.</t>
        </is>
      </c>
      <c r="O888" t="inlineStr">
        <is>
          <t>eng</t>
        </is>
      </c>
      <c r="P888" t="inlineStr">
        <is>
          <t>nju</t>
        </is>
      </c>
      <c r="R888" t="inlineStr">
        <is>
          <t xml:space="preserve">PL </t>
        </is>
      </c>
      <c r="S888" t="n">
        <v>1</v>
      </c>
      <c r="T888" t="n">
        <v>1</v>
      </c>
      <c r="U888" t="inlineStr">
        <is>
          <t>2006-06-20</t>
        </is>
      </c>
      <c r="V888" t="inlineStr">
        <is>
          <t>2006-06-20</t>
        </is>
      </c>
      <c r="W888" t="inlineStr">
        <is>
          <t>2006-06-20</t>
        </is>
      </c>
      <c r="X888" t="inlineStr">
        <is>
          <t>2006-06-20</t>
        </is>
      </c>
      <c r="Y888" t="n">
        <v>42</v>
      </c>
      <c r="Z888" t="n">
        <v>32</v>
      </c>
      <c r="AA888" t="n">
        <v>34</v>
      </c>
      <c r="AB888" t="n">
        <v>1</v>
      </c>
      <c r="AC888" t="n">
        <v>1</v>
      </c>
      <c r="AD888" t="n">
        <v>1</v>
      </c>
      <c r="AE888" t="n">
        <v>1</v>
      </c>
      <c r="AF888" t="n">
        <v>0</v>
      </c>
      <c r="AG888" t="n">
        <v>0</v>
      </c>
      <c r="AH888" t="n">
        <v>1</v>
      </c>
      <c r="AI888" t="n">
        <v>1</v>
      </c>
      <c r="AJ888" t="n">
        <v>1</v>
      </c>
      <c r="AK888" t="n">
        <v>1</v>
      </c>
      <c r="AL888" t="n">
        <v>0</v>
      </c>
      <c r="AM888" t="n">
        <v>0</v>
      </c>
      <c r="AN888" t="n">
        <v>0</v>
      </c>
      <c r="AO888" t="n">
        <v>0</v>
      </c>
      <c r="AP888" t="inlineStr">
        <is>
          <t>No</t>
        </is>
      </c>
      <c r="AQ888" t="inlineStr">
        <is>
          <t>Yes</t>
        </is>
      </c>
      <c r="AR888">
        <f>HYPERLINK("http://catalog.hathitrust.org/Record/004993189","HathiTrust Record")</f>
        <v/>
      </c>
      <c r="AS888">
        <f>HYPERLINK("https://creighton-primo.hosted.exlibrisgroup.com/primo-explore/search?tab=default_tab&amp;search_scope=EVERYTHING&amp;vid=01CRU&amp;lang=en_US&amp;offset=0&amp;query=any,contains,991004768249702656","Catalog Record")</f>
        <v/>
      </c>
      <c r="AT888">
        <f>HYPERLINK("http://www.worldcat.org/oclc/57285949","WorldCat Record")</f>
        <v/>
      </c>
      <c r="AU888" t="inlineStr">
        <is>
          <t>1071673:eng</t>
        </is>
      </c>
      <c r="AV888" t="inlineStr">
        <is>
          <t>57285949</t>
        </is>
      </c>
      <c r="AW888" t="inlineStr">
        <is>
          <t>991004768249702656</t>
        </is>
      </c>
      <c r="AX888" t="inlineStr">
        <is>
          <t>991004768249702656</t>
        </is>
      </c>
      <c r="AY888" t="inlineStr">
        <is>
          <t>2271272860002656</t>
        </is>
      </c>
      <c r="AZ888" t="inlineStr">
        <is>
          <t>BOOK</t>
        </is>
      </c>
      <c r="BB888" t="inlineStr">
        <is>
          <t>9781931907224</t>
        </is>
      </c>
      <c r="BC888" t="inlineStr">
        <is>
          <t>32285005191639</t>
        </is>
      </c>
      <c r="BD888" t="inlineStr">
        <is>
          <t>893889261</t>
        </is>
      </c>
    </row>
    <row r="889">
      <c r="A889" t="inlineStr">
        <is>
          <t>No</t>
        </is>
      </c>
      <c r="B889" t="inlineStr">
        <is>
          <t>PM1001 .K3</t>
        </is>
      </c>
      <c r="C889" t="inlineStr">
        <is>
          <t>0                      PM 1001000K  3</t>
        </is>
      </c>
      <c r="D889" t="inlineStr">
        <is>
          <t>Structural elements of the language of the Crow Indians of Montana, by Dorothea V. Kaschube.</t>
        </is>
      </c>
      <c r="F889" t="inlineStr">
        <is>
          <t>No</t>
        </is>
      </c>
      <c r="G889" t="inlineStr">
        <is>
          <t>1</t>
        </is>
      </c>
      <c r="H889" t="inlineStr">
        <is>
          <t>No</t>
        </is>
      </c>
      <c r="I889" t="inlineStr">
        <is>
          <t>No</t>
        </is>
      </c>
      <c r="J889" t="inlineStr">
        <is>
          <t>0</t>
        </is>
      </c>
      <c r="K889" t="inlineStr">
        <is>
          <t>Kaschube, Dorothea V., 1927-</t>
        </is>
      </c>
      <c r="L889" t="inlineStr">
        <is>
          <t>Boulder, University of Colorado Press, 1967.</t>
        </is>
      </c>
      <c r="M889" t="inlineStr">
        <is>
          <t>1967</t>
        </is>
      </c>
      <c r="O889" t="inlineStr">
        <is>
          <t>eng</t>
        </is>
      </c>
      <c r="P889" t="inlineStr">
        <is>
          <t>cou</t>
        </is>
      </c>
      <c r="Q889" t="inlineStr">
        <is>
          <t>University of Colorado studies. Series in anthropology ; no. 14</t>
        </is>
      </c>
      <c r="R889" t="inlineStr">
        <is>
          <t xml:space="preserve">PM </t>
        </is>
      </c>
      <c r="S889" t="n">
        <v>5</v>
      </c>
      <c r="T889" t="n">
        <v>5</v>
      </c>
      <c r="U889" t="inlineStr">
        <is>
          <t>2004-12-03</t>
        </is>
      </c>
      <c r="V889" t="inlineStr">
        <is>
          <t>2004-12-03</t>
        </is>
      </c>
      <c r="W889" t="inlineStr">
        <is>
          <t>1997-08-29</t>
        </is>
      </c>
      <c r="X889" t="inlineStr">
        <is>
          <t>1997-08-29</t>
        </is>
      </c>
      <c r="Y889" t="n">
        <v>183</v>
      </c>
      <c r="Z889" t="n">
        <v>151</v>
      </c>
      <c r="AA889" t="n">
        <v>156</v>
      </c>
      <c r="AB889" t="n">
        <v>2</v>
      </c>
      <c r="AC889" t="n">
        <v>2</v>
      </c>
      <c r="AD889" t="n">
        <v>4</v>
      </c>
      <c r="AE889" t="n">
        <v>4</v>
      </c>
      <c r="AF889" t="n">
        <v>1</v>
      </c>
      <c r="AG889" t="n">
        <v>1</v>
      </c>
      <c r="AH889" t="n">
        <v>1</v>
      </c>
      <c r="AI889" t="n">
        <v>1</v>
      </c>
      <c r="AJ889" t="n">
        <v>1</v>
      </c>
      <c r="AK889" t="n">
        <v>1</v>
      </c>
      <c r="AL889" t="n">
        <v>1</v>
      </c>
      <c r="AM889" t="n">
        <v>1</v>
      </c>
      <c r="AN889" t="n">
        <v>0</v>
      </c>
      <c r="AO889" t="n">
        <v>0</v>
      </c>
      <c r="AP889" t="inlineStr">
        <is>
          <t>No</t>
        </is>
      </c>
      <c r="AQ889" t="inlineStr">
        <is>
          <t>No</t>
        </is>
      </c>
      <c r="AS889">
        <f>HYPERLINK("https://creighton-primo.hosted.exlibrisgroup.com/primo-explore/search?tab=default_tab&amp;search_scope=EVERYTHING&amp;vid=01CRU&amp;lang=en_US&amp;offset=0&amp;query=any,contains,991002811239702656","Catalog Record")</f>
        <v/>
      </c>
      <c r="AT889">
        <f>HYPERLINK("http://www.worldcat.org/oclc/454568","WorldCat Record")</f>
        <v/>
      </c>
      <c r="AU889" t="inlineStr">
        <is>
          <t>1455779:eng</t>
        </is>
      </c>
      <c r="AV889" t="inlineStr">
        <is>
          <t>454568</t>
        </is>
      </c>
      <c r="AW889" t="inlineStr">
        <is>
          <t>991002811239702656</t>
        </is>
      </c>
      <c r="AX889" t="inlineStr">
        <is>
          <t>991002811239702656</t>
        </is>
      </c>
      <c r="AY889" t="inlineStr">
        <is>
          <t>2264029040002656</t>
        </is>
      </c>
      <c r="AZ889" t="inlineStr">
        <is>
          <t>BOOK</t>
        </is>
      </c>
      <c r="BC889" t="inlineStr">
        <is>
          <t>32285003141925</t>
        </is>
      </c>
      <c r="BD889" t="inlineStr">
        <is>
          <t>893251642</t>
        </is>
      </c>
    </row>
    <row r="890">
      <c r="A890" t="inlineStr">
        <is>
          <t>No</t>
        </is>
      </c>
      <c r="B890" t="inlineStr">
        <is>
          <t>PM136 .M35 2002</t>
        </is>
      </c>
      <c r="C890" t="inlineStr">
        <is>
          <t>0                      PM 0136000M  35          2002</t>
        </is>
      </c>
      <c r="D890" t="inlineStr">
        <is>
          <t>Making dictionaries : preserving indigenous languages of the Americas / edited by William Frawley, Kenneth C. Hill, Pamela Munro.</t>
        </is>
      </c>
      <c r="F890" t="inlineStr">
        <is>
          <t>No</t>
        </is>
      </c>
      <c r="G890" t="inlineStr">
        <is>
          <t>1</t>
        </is>
      </c>
      <c r="H890" t="inlineStr">
        <is>
          <t>No</t>
        </is>
      </c>
      <c r="I890" t="inlineStr">
        <is>
          <t>No</t>
        </is>
      </c>
      <c r="J890" t="inlineStr">
        <is>
          <t>0</t>
        </is>
      </c>
      <c r="L890" t="inlineStr">
        <is>
          <t>Berkeley : University of California Press, c2002.</t>
        </is>
      </c>
      <c r="M890" t="inlineStr">
        <is>
          <t>2002</t>
        </is>
      </c>
      <c r="O890" t="inlineStr">
        <is>
          <t>eng</t>
        </is>
      </c>
      <c r="P890" t="inlineStr">
        <is>
          <t>cau</t>
        </is>
      </c>
      <c r="R890" t="inlineStr">
        <is>
          <t xml:space="preserve">PM </t>
        </is>
      </c>
      <c r="S890" t="n">
        <v>1</v>
      </c>
      <c r="T890" t="n">
        <v>1</v>
      </c>
      <c r="U890" t="inlineStr">
        <is>
          <t>2002-11-06</t>
        </is>
      </c>
      <c r="V890" t="inlineStr">
        <is>
          <t>2002-11-06</t>
        </is>
      </c>
      <c r="W890" t="inlineStr">
        <is>
          <t>2002-11-06</t>
        </is>
      </c>
      <c r="X890" t="inlineStr">
        <is>
          <t>2002-11-06</t>
        </is>
      </c>
      <c r="Y890" t="n">
        <v>372</v>
      </c>
      <c r="Z890" t="n">
        <v>290</v>
      </c>
      <c r="AA890" t="n">
        <v>290</v>
      </c>
      <c r="AB890" t="n">
        <v>2</v>
      </c>
      <c r="AC890" t="n">
        <v>2</v>
      </c>
      <c r="AD890" t="n">
        <v>9</v>
      </c>
      <c r="AE890" t="n">
        <v>9</v>
      </c>
      <c r="AF890" t="n">
        <v>3</v>
      </c>
      <c r="AG890" t="n">
        <v>3</v>
      </c>
      <c r="AH890" t="n">
        <v>3</v>
      </c>
      <c r="AI890" t="n">
        <v>3</v>
      </c>
      <c r="AJ890" t="n">
        <v>4</v>
      </c>
      <c r="AK890" t="n">
        <v>4</v>
      </c>
      <c r="AL890" t="n">
        <v>1</v>
      </c>
      <c r="AM890" t="n">
        <v>1</v>
      </c>
      <c r="AN890" t="n">
        <v>0</v>
      </c>
      <c r="AO890" t="n">
        <v>0</v>
      </c>
      <c r="AP890" t="inlineStr">
        <is>
          <t>No</t>
        </is>
      </c>
      <c r="AQ890" t="inlineStr">
        <is>
          <t>No</t>
        </is>
      </c>
      <c r="AS890">
        <f>HYPERLINK("https://creighton-primo.hosted.exlibrisgroup.com/primo-explore/search?tab=default_tab&amp;search_scope=EVERYTHING&amp;vid=01CRU&amp;lang=en_US&amp;offset=0&amp;query=any,contains,991003907889702656","Catalog Record")</f>
        <v/>
      </c>
      <c r="AT890">
        <f>HYPERLINK("http://www.worldcat.org/oclc/47863283","WorldCat Record")</f>
        <v/>
      </c>
      <c r="AU890" t="inlineStr">
        <is>
          <t>837063489:eng</t>
        </is>
      </c>
      <c r="AV890" t="inlineStr">
        <is>
          <t>47863283</t>
        </is>
      </c>
      <c r="AW890" t="inlineStr">
        <is>
          <t>991003907889702656</t>
        </is>
      </c>
      <c r="AX890" t="inlineStr">
        <is>
          <t>991003907889702656</t>
        </is>
      </c>
      <c r="AY890" t="inlineStr">
        <is>
          <t>2268884640002656</t>
        </is>
      </c>
      <c r="AZ890" t="inlineStr">
        <is>
          <t>BOOK</t>
        </is>
      </c>
      <c r="BB890" t="inlineStr">
        <is>
          <t>9780520229952</t>
        </is>
      </c>
      <c r="BC890" t="inlineStr">
        <is>
          <t>32285004661368</t>
        </is>
      </c>
      <c r="BD890" t="inlineStr">
        <is>
          <t>893506138</t>
        </is>
      </c>
    </row>
    <row r="891">
      <c r="A891" t="inlineStr">
        <is>
          <t>No</t>
        </is>
      </c>
      <c r="B891" t="inlineStr">
        <is>
          <t>PM1855 .C7 0978</t>
        </is>
      </c>
      <c r="C891" t="inlineStr">
        <is>
          <t>0                      PM 1855000C  7           0978</t>
        </is>
      </c>
      <c r="D891" t="inlineStr">
        <is>
          <t>The Mobilian trade language / James M. Crawford.</t>
        </is>
      </c>
      <c r="F891" t="inlineStr">
        <is>
          <t>No</t>
        </is>
      </c>
      <c r="G891" t="inlineStr">
        <is>
          <t>1</t>
        </is>
      </c>
      <c r="H891" t="inlineStr">
        <is>
          <t>No</t>
        </is>
      </c>
      <c r="I891" t="inlineStr">
        <is>
          <t>No</t>
        </is>
      </c>
      <c r="J891" t="inlineStr">
        <is>
          <t>0</t>
        </is>
      </c>
      <c r="K891" t="inlineStr">
        <is>
          <t>Crawford, James M. (James Mack), 1925-1989.</t>
        </is>
      </c>
      <c r="L891" t="inlineStr">
        <is>
          <t>Knoxville : University of Tennessee Press, c1978.</t>
        </is>
      </c>
      <c r="M891" t="inlineStr">
        <is>
          <t>1978</t>
        </is>
      </c>
      <c r="N891" t="inlineStr">
        <is>
          <t>1st ed.</t>
        </is>
      </c>
      <c r="O891" t="inlineStr">
        <is>
          <t>eng</t>
        </is>
      </c>
      <c r="P891" t="inlineStr">
        <is>
          <t>tnu</t>
        </is>
      </c>
      <c r="R891" t="inlineStr">
        <is>
          <t xml:space="preserve">PM </t>
        </is>
      </c>
      <c r="S891" t="n">
        <v>1</v>
      </c>
      <c r="T891" t="n">
        <v>1</v>
      </c>
      <c r="U891" t="inlineStr">
        <is>
          <t>2003-06-03</t>
        </is>
      </c>
      <c r="V891" t="inlineStr">
        <is>
          <t>2003-06-03</t>
        </is>
      </c>
      <c r="W891" t="inlineStr">
        <is>
          <t>2003-06-02</t>
        </is>
      </c>
      <c r="X891" t="inlineStr">
        <is>
          <t>2003-06-02</t>
        </is>
      </c>
      <c r="Y891" t="n">
        <v>288</v>
      </c>
      <c r="Z891" t="n">
        <v>257</v>
      </c>
      <c r="AA891" t="n">
        <v>264</v>
      </c>
      <c r="AB891" t="n">
        <v>3</v>
      </c>
      <c r="AC891" t="n">
        <v>3</v>
      </c>
      <c r="AD891" t="n">
        <v>8</v>
      </c>
      <c r="AE891" t="n">
        <v>8</v>
      </c>
      <c r="AF891" t="n">
        <v>1</v>
      </c>
      <c r="AG891" t="n">
        <v>1</v>
      </c>
      <c r="AH891" t="n">
        <v>2</v>
      </c>
      <c r="AI891" t="n">
        <v>2</v>
      </c>
      <c r="AJ891" t="n">
        <v>5</v>
      </c>
      <c r="AK891" t="n">
        <v>5</v>
      </c>
      <c r="AL891" t="n">
        <v>2</v>
      </c>
      <c r="AM891" t="n">
        <v>2</v>
      </c>
      <c r="AN891" t="n">
        <v>0</v>
      </c>
      <c r="AO891" t="n">
        <v>0</v>
      </c>
      <c r="AP891" t="inlineStr">
        <is>
          <t>No</t>
        </is>
      </c>
      <c r="AQ891" t="inlineStr">
        <is>
          <t>No</t>
        </is>
      </c>
      <c r="AS891">
        <f>HYPERLINK("https://creighton-primo.hosted.exlibrisgroup.com/primo-explore/search?tab=default_tab&amp;search_scope=EVERYTHING&amp;vid=01CRU&amp;lang=en_US&amp;offset=0&amp;query=any,contains,991004068349702656","Catalog Record")</f>
        <v/>
      </c>
      <c r="AT891">
        <f>HYPERLINK("http://www.worldcat.org/oclc/4194226","WorldCat Record")</f>
        <v/>
      </c>
      <c r="AU891" t="inlineStr">
        <is>
          <t>918069091:eng</t>
        </is>
      </c>
      <c r="AV891" t="inlineStr">
        <is>
          <t>4194226</t>
        </is>
      </c>
      <c r="AW891" t="inlineStr">
        <is>
          <t>991004068349702656</t>
        </is>
      </c>
      <c r="AX891" t="inlineStr">
        <is>
          <t>991004068349702656</t>
        </is>
      </c>
      <c r="AY891" t="inlineStr">
        <is>
          <t>2262333390002656</t>
        </is>
      </c>
      <c r="AZ891" t="inlineStr">
        <is>
          <t>BOOK</t>
        </is>
      </c>
      <c r="BB891" t="inlineStr">
        <is>
          <t>9780870492532</t>
        </is>
      </c>
      <c r="BC891" t="inlineStr">
        <is>
          <t>32285004750161</t>
        </is>
      </c>
      <c r="BD891" t="inlineStr">
        <is>
          <t>893519210</t>
        </is>
      </c>
    </row>
    <row r="892">
      <c r="A892" t="inlineStr">
        <is>
          <t>No</t>
        </is>
      </c>
      <c r="B892" t="inlineStr">
        <is>
          <t>PM197.E1 C66 1994</t>
        </is>
      </c>
      <c r="C892" t="inlineStr">
        <is>
          <t>0                      PM 0197000E  1                  C  66          1994</t>
        </is>
      </c>
      <c r="D892" t="inlineStr">
        <is>
          <t>Coming to light : contemporary translations of the native literatures of North America / edited and with an introduction by Brian Swann.</t>
        </is>
      </c>
      <c r="F892" t="inlineStr">
        <is>
          <t>No</t>
        </is>
      </c>
      <c r="G892" t="inlineStr">
        <is>
          <t>1</t>
        </is>
      </c>
      <c r="H892" t="inlineStr">
        <is>
          <t>No</t>
        </is>
      </c>
      <c r="I892" t="inlineStr">
        <is>
          <t>No</t>
        </is>
      </c>
      <c r="J892" t="inlineStr">
        <is>
          <t>0</t>
        </is>
      </c>
      <c r="L892" t="inlineStr">
        <is>
          <t>New York : Random House, c1994.</t>
        </is>
      </c>
      <c r="M892" t="inlineStr">
        <is>
          <t>1994</t>
        </is>
      </c>
      <c r="N892" t="inlineStr">
        <is>
          <t>1st ed.</t>
        </is>
      </c>
      <c r="O892" t="inlineStr">
        <is>
          <t>eng</t>
        </is>
      </c>
      <c r="P892" t="inlineStr">
        <is>
          <t>nyu</t>
        </is>
      </c>
      <c r="R892" t="inlineStr">
        <is>
          <t xml:space="preserve">PM </t>
        </is>
      </c>
      <c r="S892" t="n">
        <v>7</v>
      </c>
      <c r="T892" t="n">
        <v>7</v>
      </c>
      <c r="U892" t="inlineStr">
        <is>
          <t>2003-11-26</t>
        </is>
      </c>
      <c r="V892" t="inlineStr">
        <is>
          <t>2003-11-26</t>
        </is>
      </c>
      <c r="W892" t="inlineStr">
        <is>
          <t>1995-04-03</t>
        </is>
      </c>
      <c r="X892" t="inlineStr">
        <is>
          <t>1995-04-03</t>
        </is>
      </c>
      <c r="Y892" t="n">
        <v>1220</v>
      </c>
      <c r="Z892" t="n">
        <v>1153</v>
      </c>
      <c r="AA892" t="n">
        <v>1218</v>
      </c>
      <c r="AB892" t="n">
        <v>9</v>
      </c>
      <c r="AC892" t="n">
        <v>9</v>
      </c>
      <c r="AD892" t="n">
        <v>37</v>
      </c>
      <c r="AE892" t="n">
        <v>38</v>
      </c>
      <c r="AF892" t="n">
        <v>16</v>
      </c>
      <c r="AG892" t="n">
        <v>16</v>
      </c>
      <c r="AH892" t="n">
        <v>7</v>
      </c>
      <c r="AI892" t="n">
        <v>8</v>
      </c>
      <c r="AJ892" t="n">
        <v>16</v>
      </c>
      <c r="AK892" t="n">
        <v>17</v>
      </c>
      <c r="AL892" t="n">
        <v>6</v>
      </c>
      <c r="AM892" t="n">
        <v>6</v>
      </c>
      <c r="AN892" t="n">
        <v>0</v>
      </c>
      <c r="AO892" t="n">
        <v>0</v>
      </c>
      <c r="AP892" t="inlineStr">
        <is>
          <t>No</t>
        </is>
      </c>
      <c r="AQ892" t="inlineStr">
        <is>
          <t>Yes</t>
        </is>
      </c>
      <c r="AR892">
        <f>HYPERLINK("http://catalog.hathitrust.org/Record/002972824","HathiTrust Record")</f>
        <v/>
      </c>
      <c r="AS892">
        <f>HYPERLINK("https://creighton-primo.hosted.exlibrisgroup.com/primo-explore/search?tab=default_tab&amp;search_scope=EVERYTHING&amp;vid=01CRU&amp;lang=en_US&amp;offset=0&amp;query=any,contains,991002325309702656","Catalog Record")</f>
        <v/>
      </c>
      <c r="AT892">
        <f>HYPERLINK("http://www.worldcat.org/oclc/30156520","WorldCat Record")</f>
        <v/>
      </c>
      <c r="AU892" t="inlineStr">
        <is>
          <t>55811122:eng</t>
        </is>
      </c>
      <c r="AV892" t="inlineStr">
        <is>
          <t>30156520</t>
        </is>
      </c>
      <c r="AW892" t="inlineStr">
        <is>
          <t>991002325309702656</t>
        </is>
      </c>
      <c r="AX892" t="inlineStr">
        <is>
          <t>991002325309702656</t>
        </is>
      </c>
      <c r="AY892" t="inlineStr">
        <is>
          <t>2265946450002656</t>
        </is>
      </c>
      <c r="AZ892" t="inlineStr">
        <is>
          <t>BOOK</t>
        </is>
      </c>
      <c r="BB892" t="inlineStr">
        <is>
          <t>9780679418160</t>
        </is>
      </c>
      <c r="BC892" t="inlineStr">
        <is>
          <t>32285002015906</t>
        </is>
      </c>
      <c r="BD892" t="inlineStr">
        <is>
          <t>893226706</t>
        </is>
      </c>
    </row>
    <row r="893">
      <c r="A893" t="inlineStr">
        <is>
          <t>No</t>
        </is>
      </c>
      <c r="B893" t="inlineStr">
        <is>
          <t>PM2007 .H2 1926</t>
        </is>
      </c>
      <c r="C893" t="inlineStr">
        <is>
          <t>0                      PM 2007000H  2           1926</t>
        </is>
      </c>
      <c r="D893" t="inlineStr">
        <is>
          <t>A manual of Navaho grammar / arranged by Berard Haile.</t>
        </is>
      </c>
      <c r="F893" t="inlineStr">
        <is>
          <t>No</t>
        </is>
      </c>
      <c r="G893" t="inlineStr">
        <is>
          <t>1</t>
        </is>
      </c>
      <c r="H893" t="inlineStr">
        <is>
          <t>No</t>
        </is>
      </c>
      <c r="I893" t="inlineStr">
        <is>
          <t>No</t>
        </is>
      </c>
      <c r="J893" t="inlineStr">
        <is>
          <t>0</t>
        </is>
      </c>
      <c r="K893" t="inlineStr">
        <is>
          <t>Haile, Berard, 1874-1961.</t>
        </is>
      </c>
      <c r="L893" t="inlineStr">
        <is>
          <t>St. Michael's, Ariz. : [s.n.], 1926.</t>
        </is>
      </c>
      <c r="M893" t="inlineStr">
        <is>
          <t>1926</t>
        </is>
      </c>
      <c r="O893" t="inlineStr">
        <is>
          <t>eng</t>
        </is>
      </c>
      <c r="P893" t="inlineStr">
        <is>
          <t>azu</t>
        </is>
      </c>
      <c r="R893" t="inlineStr">
        <is>
          <t xml:space="preserve">PM </t>
        </is>
      </c>
      <c r="S893" t="n">
        <v>1</v>
      </c>
      <c r="T893" t="n">
        <v>1</v>
      </c>
      <c r="U893" t="inlineStr">
        <is>
          <t>2003-06-03</t>
        </is>
      </c>
      <c r="V893" t="inlineStr">
        <is>
          <t>2003-06-03</t>
        </is>
      </c>
      <c r="W893" t="inlineStr">
        <is>
          <t>2003-06-03</t>
        </is>
      </c>
      <c r="X893" t="inlineStr">
        <is>
          <t>2003-06-03</t>
        </is>
      </c>
      <c r="Y893" t="n">
        <v>132</v>
      </c>
      <c r="Z893" t="n">
        <v>114</v>
      </c>
      <c r="AA893" t="n">
        <v>237</v>
      </c>
      <c r="AB893" t="n">
        <v>2</v>
      </c>
      <c r="AC893" t="n">
        <v>2</v>
      </c>
      <c r="AD893" t="n">
        <v>7</v>
      </c>
      <c r="AE893" t="n">
        <v>10</v>
      </c>
      <c r="AF893" t="n">
        <v>1</v>
      </c>
      <c r="AG893" t="n">
        <v>2</v>
      </c>
      <c r="AH893" t="n">
        <v>1</v>
      </c>
      <c r="AI893" t="n">
        <v>2</v>
      </c>
      <c r="AJ893" t="n">
        <v>5</v>
      </c>
      <c r="AK893" t="n">
        <v>7</v>
      </c>
      <c r="AL893" t="n">
        <v>1</v>
      </c>
      <c r="AM893" t="n">
        <v>1</v>
      </c>
      <c r="AN893" t="n">
        <v>0</v>
      </c>
      <c r="AO893" t="n">
        <v>0</v>
      </c>
      <c r="AP893" t="inlineStr">
        <is>
          <t>Yes</t>
        </is>
      </c>
      <c r="AQ893" t="inlineStr">
        <is>
          <t>No</t>
        </is>
      </c>
      <c r="AR893">
        <f>HYPERLINK("http://catalog.hathitrust.org/Record/101861639","HathiTrust Record")</f>
        <v/>
      </c>
      <c r="AS893">
        <f>HYPERLINK("https://creighton-primo.hosted.exlibrisgroup.com/primo-explore/search?tab=default_tab&amp;search_scope=EVERYTHING&amp;vid=01CRU&amp;lang=en_US&amp;offset=0&amp;query=any,contains,991004069789702656","Catalog Record")</f>
        <v/>
      </c>
      <c r="AT893">
        <f>HYPERLINK("http://www.worldcat.org/oclc/3220631","WorldCat Record")</f>
        <v/>
      </c>
      <c r="AU893" t="inlineStr">
        <is>
          <t>475050:eng</t>
        </is>
      </c>
      <c r="AV893" t="inlineStr">
        <is>
          <t>3220631</t>
        </is>
      </c>
      <c r="AW893" t="inlineStr">
        <is>
          <t>991004069789702656</t>
        </is>
      </c>
      <c r="AX893" t="inlineStr">
        <is>
          <t>991004069789702656</t>
        </is>
      </c>
      <c r="AY893" t="inlineStr">
        <is>
          <t>2261096860002656</t>
        </is>
      </c>
      <c r="AZ893" t="inlineStr">
        <is>
          <t>BOOK</t>
        </is>
      </c>
      <c r="BC893" t="inlineStr">
        <is>
          <t>32285004750591</t>
        </is>
      </c>
      <c r="BD893" t="inlineStr">
        <is>
          <t>893599392</t>
        </is>
      </c>
    </row>
    <row r="894">
      <c r="A894" t="inlineStr">
        <is>
          <t>No</t>
        </is>
      </c>
      <c r="B894" t="inlineStr">
        <is>
          <t>PM2008 .W3 1958</t>
        </is>
      </c>
      <c r="C894" t="inlineStr">
        <is>
          <t>0                      PM 2008000W  3           1958</t>
        </is>
      </c>
      <c r="D894" t="inlineStr">
        <is>
          <t>Navajo-English dictionary / by Leon Wall ; William Morgan, translator.</t>
        </is>
      </c>
      <c r="F894" t="inlineStr">
        <is>
          <t>No</t>
        </is>
      </c>
      <c r="G894" t="inlineStr">
        <is>
          <t>1</t>
        </is>
      </c>
      <c r="H894" t="inlineStr">
        <is>
          <t>No</t>
        </is>
      </c>
      <c r="I894" t="inlineStr">
        <is>
          <t>No</t>
        </is>
      </c>
      <c r="J894" t="inlineStr">
        <is>
          <t>0</t>
        </is>
      </c>
      <c r="K894" t="inlineStr">
        <is>
          <t>Wall, C. Leon.</t>
        </is>
      </c>
      <c r="L894" t="inlineStr">
        <is>
          <t>[Phoenix, Ariz.?] : U.S. Dept. of the Interior, Branch of Education, Bureau of Indian Affairs, 1958.</t>
        </is>
      </c>
      <c r="M894" t="inlineStr">
        <is>
          <t>1958</t>
        </is>
      </c>
      <c r="O894" t="inlineStr">
        <is>
          <t>eng</t>
        </is>
      </c>
      <c r="P894" t="inlineStr">
        <is>
          <t>azu</t>
        </is>
      </c>
      <c r="R894" t="inlineStr">
        <is>
          <t xml:space="preserve">PM </t>
        </is>
      </c>
      <c r="S894" t="n">
        <v>1</v>
      </c>
      <c r="T894" t="n">
        <v>1</v>
      </c>
      <c r="U894" t="inlineStr">
        <is>
          <t>2003-06-04</t>
        </is>
      </c>
      <c r="V894" t="inlineStr">
        <is>
          <t>2003-06-04</t>
        </is>
      </c>
      <c r="W894" t="inlineStr">
        <is>
          <t>2003-06-04</t>
        </is>
      </c>
      <c r="X894" t="inlineStr">
        <is>
          <t>2003-06-04</t>
        </is>
      </c>
      <c r="Y894" t="n">
        <v>221</v>
      </c>
      <c r="Z894" t="n">
        <v>207</v>
      </c>
      <c r="AA894" t="n">
        <v>264</v>
      </c>
      <c r="AB894" t="n">
        <v>2</v>
      </c>
      <c r="AC894" t="n">
        <v>2</v>
      </c>
      <c r="AD894" t="n">
        <v>3</v>
      </c>
      <c r="AE894" t="n">
        <v>7</v>
      </c>
      <c r="AF894" t="n">
        <v>0</v>
      </c>
      <c r="AG894" t="n">
        <v>0</v>
      </c>
      <c r="AH894" t="n">
        <v>1</v>
      </c>
      <c r="AI894" t="n">
        <v>1</v>
      </c>
      <c r="AJ894" t="n">
        <v>2</v>
      </c>
      <c r="AK894" t="n">
        <v>2</v>
      </c>
      <c r="AL894" t="n">
        <v>0</v>
      </c>
      <c r="AM894" t="n">
        <v>0</v>
      </c>
      <c r="AN894" t="n">
        <v>1</v>
      </c>
      <c r="AO894" t="n">
        <v>5</v>
      </c>
      <c r="AP894" t="inlineStr">
        <is>
          <t>Yes</t>
        </is>
      </c>
      <c r="AQ894" t="inlineStr">
        <is>
          <t>No</t>
        </is>
      </c>
      <c r="AR894">
        <f>HYPERLINK("http://catalog.hathitrust.org/Record/001009908","HathiTrust Record")</f>
        <v/>
      </c>
      <c r="AS894">
        <f>HYPERLINK("https://creighton-primo.hosted.exlibrisgroup.com/primo-explore/search?tab=default_tab&amp;search_scope=EVERYTHING&amp;vid=01CRU&amp;lang=en_US&amp;offset=0&amp;query=any,contains,991004070489702656","Catalog Record")</f>
        <v/>
      </c>
      <c r="AT894">
        <f>HYPERLINK("http://www.worldcat.org/oclc/1357219","WorldCat Record")</f>
        <v/>
      </c>
      <c r="AU894" t="inlineStr">
        <is>
          <t>2256042:eng</t>
        </is>
      </c>
      <c r="AV894" t="inlineStr">
        <is>
          <t>1357219</t>
        </is>
      </c>
      <c r="AW894" t="inlineStr">
        <is>
          <t>991004070489702656</t>
        </is>
      </c>
      <c r="AX894" t="inlineStr">
        <is>
          <t>991004070489702656</t>
        </is>
      </c>
      <c r="AY894" t="inlineStr">
        <is>
          <t>2271799590002656</t>
        </is>
      </c>
      <c r="AZ894" t="inlineStr">
        <is>
          <t>BOOK</t>
        </is>
      </c>
      <c r="BC894" t="inlineStr">
        <is>
          <t>32285004750773</t>
        </is>
      </c>
      <c r="BD894" t="inlineStr">
        <is>
          <t>893693478</t>
        </is>
      </c>
    </row>
    <row r="895">
      <c r="A895" t="inlineStr">
        <is>
          <t>No</t>
        </is>
      </c>
      <c r="B895" t="inlineStr">
        <is>
          <t>PM2701.Z77 S8 1984</t>
        </is>
      </c>
      <c r="C895" t="inlineStr">
        <is>
          <t>0                      PM 2701000Z  77                 S  8           1984</t>
        </is>
      </c>
      <c r="D895" t="inlineStr">
        <is>
          <t>Spirit mountain : an anthology of Yuman story and song / Leanne Hinton and Lucille J. Watahomigie, editors.</t>
        </is>
      </c>
      <c r="F895" t="inlineStr">
        <is>
          <t>No</t>
        </is>
      </c>
      <c r="G895" t="inlineStr">
        <is>
          <t>1</t>
        </is>
      </c>
      <c r="H895" t="inlineStr">
        <is>
          <t>No</t>
        </is>
      </c>
      <c r="I895" t="inlineStr">
        <is>
          <t>No</t>
        </is>
      </c>
      <c r="J895" t="inlineStr">
        <is>
          <t>0</t>
        </is>
      </c>
      <c r="L895" t="inlineStr">
        <is>
          <t>Tucson, Ariz. : Sun Tracks and the University of Arizona Press, c1984.</t>
        </is>
      </c>
      <c r="M895" t="inlineStr">
        <is>
          <t>1984</t>
        </is>
      </c>
      <c r="O895" t="inlineStr">
        <is>
          <t>eng</t>
        </is>
      </c>
      <c r="P895" t="inlineStr">
        <is>
          <t>azu</t>
        </is>
      </c>
      <c r="Q895" t="inlineStr">
        <is>
          <t>Sun tracks ; v. 10</t>
        </is>
      </c>
      <c r="R895" t="inlineStr">
        <is>
          <t xml:space="preserve">PM </t>
        </is>
      </c>
      <c r="S895" t="n">
        <v>1</v>
      </c>
      <c r="T895" t="n">
        <v>1</v>
      </c>
      <c r="U895" t="inlineStr">
        <is>
          <t>2005-07-27</t>
        </is>
      </c>
      <c r="V895" t="inlineStr">
        <is>
          <t>2005-07-27</t>
        </is>
      </c>
      <c r="W895" t="inlineStr">
        <is>
          <t>2005-07-26</t>
        </is>
      </c>
      <c r="X895" t="inlineStr">
        <is>
          <t>2005-07-26</t>
        </is>
      </c>
      <c r="Y895" t="n">
        <v>374</v>
      </c>
      <c r="Z895" t="n">
        <v>340</v>
      </c>
      <c r="AA895" t="n">
        <v>346</v>
      </c>
      <c r="AB895" t="n">
        <v>3</v>
      </c>
      <c r="AC895" t="n">
        <v>3</v>
      </c>
      <c r="AD895" t="n">
        <v>12</v>
      </c>
      <c r="AE895" t="n">
        <v>12</v>
      </c>
      <c r="AF895" t="n">
        <v>4</v>
      </c>
      <c r="AG895" t="n">
        <v>4</v>
      </c>
      <c r="AH895" t="n">
        <v>3</v>
      </c>
      <c r="AI895" t="n">
        <v>3</v>
      </c>
      <c r="AJ895" t="n">
        <v>5</v>
      </c>
      <c r="AK895" t="n">
        <v>5</v>
      </c>
      <c r="AL895" t="n">
        <v>2</v>
      </c>
      <c r="AM895" t="n">
        <v>2</v>
      </c>
      <c r="AN895" t="n">
        <v>1</v>
      </c>
      <c r="AO895" t="n">
        <v>1</v>
      </c>
      <c r="AP895" t="inlineStr">
        <is>
          <t>No</t>
        </is>
      </c>
      <c r="AQ895" t="inlineStr">
        <is>
          <t>Yes</t>
        </is>
      </c>
      <c r="AR895">
        <f>HYPERLINK("http://catalog.hathitrust.org/Record/000457690","HathiTrust Record")</f>
        <v/>
      </c>
      <c r="AS895">
        <f>HYPERLINK("https://creighton-primo.hosted.exlibrisgroup.com/primo-explore/search?tab=default_tab&amp;search_scope=EVERYTHING&amp;vid=01CRU&amp;lang=en_US&amp;offset=0&amp;query=any,contains,991004619459702656","Catalog Record")</f>
        <v/>
      </c>
      <c r="AT895">
        <f>HYPERLINK("http://www.worldcat.org/oclc/10458200","WorldCat Record")</f>
        <v/>
      </c>
      <c r="AU895" t="inlineStr">
        <is>
          <t>429110959:eng</t>
        </is>
      </c>
      <c r="AV895" t="inlineStr">
        <is>
          <t>10458200</t>
        </is>
      </c>
      <c r="AW895" t="inlineStr">
        <is>
          <t>991004619459702656</t>
        </is>
      </c>
      <c r="AX895" t="inlineStr">
        <is>
          <t>991004619459702656</t>
        </is>
      </c>
      <c r="AY895" t="inlineStr">
        <is>
          <t>2265958700002656</t>
        </is>
      </c>
      <c r="AZ895" t="inlineStr">
        <is>
          <t>BOOK</t>
        </is>
      </c>
      <c r="BB895" t="inlineStr">
        <is>
          <t>9780816508174</t>
        </is>
      </c>
      <c r="BC895" t="inlineStr">
        <is>
          <t>32285005097513</t>
        </is>
      </c>
      <c r="BD895" t="inlineStr">
        <is>
          <t>893500779</t>
        </is>
      </c>
    </row>
    <row r="896">
      <c r="A896" t="inlineStr">
        <is>
          <t>No</t>
        </is>
      </c>
      <c r="B896" t="inlineStr">
        <is>
          <t>PM3055 .L465 1992</t>
        </is>
      </c>
      <c r="C896" t="inlineStr">
        <is>
          <t>0                      PM 3055000L  465         1992</t>
        </is>
      </c>
      <c r="D896" t="inlineStr">
        <is>
          <t>Literaturas indígenas de México / Miguel León-Portilla.</t>
        </is>
      </c>
      <c r="F896" t="inlineStr">
        <is>
          <t>No</t>
        </is>
      </c>
      <c r="G896" t="inlineStr">
        <is>
          <t>1</t>
        </is>
      </c>
      <c r="H896" t="inlineStr">
        <is>
          <t>No</t>
        </is>
      </c>
      <c r="I896" t="inlineStr">
        <is>
          <t>No</t>
        </is>
      </c>
      <c r="J896" t="inlineStr">
        <is>
          <t>0</t>
        </is>
      </c>
      <c r="K896" t="inlineStr">
        <is>
          <t>León Portilla, Miguel.</t>
        </is>
      </c>
      <c r="L896" t="inlineStr">
        <is>
          <t>Mexico, D.F. : Fondo de Cultura Económica, 1992.</t>
        </is>
      </c>
      <c r="M896" t="inlineStr">
        <is>
          <t>1992</t>
        </is>
      </c>
      <c r="N896" t="inlineStr">
        <is>
          <t>2. ed. (FCE)</t>
        </is>
      </c>
      <c r="O896" t="inlineStr">
        <is>
          <t>spa</t>
        </is>
      </c>
      <c r="P896" t="inlineStr">
        <is>
          <t xml:space="preserve">mx </t>
        </is>
      </c>
      <c r="Q896" t="inlineStr">
        <is>
          <t>Sección de obras de antropología</t>
        </is>
      </c>
      <c r="R896" t="inlineStr">
        <is>
          <t xml:space="preserve">PM </t>
        </is>
      </c>
      <c r="S896" t="n">
        <v>1</v>
      </c>
      <c r="T896" t="n">
        <v>1</v>
      </c>
      <c r="U896" t="inlineStr">
        <is>
          <t>2010-04-18</t>
        </is>
      </c>
      <c r="V896" t="inlineStr">
        <is>
          <t>2010-04-18</t>
        </is>
      </c>
      <c r="W896" t="inlineStr">
        <is>
          <t>1997-06-05</t>
        </is>
      </c>
      <c r="X896" t="inlineStr">
        <is>
          <t>1997-06-05</t>
        </is>
      </c>
      <c r="Y896" t="n">
        <v>62</v>
      </c>
      <c r="Z896" t="n">
        <v>47</v>
      </c>
      <c r="AA896" t="n">
        <v>211</v>
      </c>
      <c r="AB896" t="n">
        <v>1</v>
      </c>
      <c r="AC896" t="n">
        <v>1</v>
      </c>
      <c r="AD896" t="n">
        <v>1</v>
      </c>
      <c r="AE896" t="n">
        <v>6</v>
      </c>
      <c r="AF896" t="n">
        <v>0</v>
      </c>
      <c r="AG896" t="n">
        <v>0</v>
      </c>
      <c r="AH896" t="n">
        <v>0</v>
      </c>
      <c r="AI896" t="n">
        <v>4</v>
      </c>
      <c r="AJ896" t="n">
        <v>1</v>
      </c>
      <c r="AK896" t="n">
        <v>3</v>
      </c>
      <c r="AL896" t="n">
        <v>0</v>
      </c>
      <c r="AM896" t="n">
        <v>0</v>
      </c>
      <c r="AN896" t="n">
        <v>0</v>
      </c>
      <c r="AO896" t="n">
        <v>0</v>
      </c>
      <c r="AP896" t="inlineStr">
        <is>
          <t>No</t>
        </is>
      </c>
      <c r="AQ896" t="inlineStr">
        <is>
          <t>No</t>
        </is>
      </c>
      <c r="AS896">
        <f>HYPERLINK("https://creighton-primo.hosted.exlibrisgroup.com/primo-explore/search?tab=default_tab&amp;search_scope=EVERYTHING&amp;vid=01CRU&amp;lang=en_US&amp;offset=0&amp;query=any,contains,991002316439702656","Catalog Record")</f>
        <v/>
      </c>
      <c r="AT896">
        <f>HYPERLINK("http://www.worldcat.org/oclc/30059959","WorldCat Record")</f>
        <v/>
      </c>
      <c r="AU896" t="inlineStr">
        <is>
          <t>29136406:spa</t>
        </is>
      </c>
      <c r="AV896" t="inlineStr">
        <is>
          <t>30059959</t>
        </is>
      </c>
      <c r="AW896" t="inlineStr">
        <is>
          <t>991002316439702656</t>
        </is>
      </c>
      <c r="AX896" t="inlineStr">
        <is>
          <t>991002316439702656</t>
        </is>
      </c>
      <c r="AY896" t="inlineStr">
        <is>
          <t>2271391140002656</t>
        </is>
      </c>
      <c r="AZ896" t="inlineStr">
        <is>
          <t>BOOK</t>
        </is>
      </c>
      <c r="BC896" t="inlineStr">
        <is>
          <t>32285002614864</t>
        </is>
      </c>
      <c r="BD896" t="inlineStr">
        <is>
          <t>893879764</t>
        </is>
      </c>
    </row>
    <row r="897">
      <c r="A897" t="inlineStr">
        <is>
          <t>No</t>
        </is>
      </c>
      <c r="B897" t="inlineStr">
        <is>
          <t>PM3968.5 .S616 1964</t>
        </is>
      </c>
      <c r="C897" t="inlineStr">
        <is>
          <t>0                      PM 3968500S  616         1964</t>
        </is>
      </c>
      <c r="D897" t="inlineStr">
        <is>
          <t>La literatura de los mayas / por Demetrio Sodi M.</t>
        </is>
      </c>
      <c r="F897" t="inlineStr">
        <is>
          <t>No</t>
        </is>
      </c>
      <c r="G897" t="inlineStr">
        <is>
          <t>1</t>
        </is>
      </c>
      <c r="H897" t="inlineStr">
        <is>
          <t>No</t>
        </is>
      </c>
      <c r="I897" t="inlineStr">
        <is>
          <t>No</t>
        </is>
      </c>
      <c r="J897" t="inlineStr">
        <is>
          <t>0</t>
        </is>
      </c>
      <c r="K897" t="inlineStr">
        <is>
          <t>Sodi M., Demetrio editor.</t>
        </is>
      </c>
      <c r="L897" t="inlineStr">
        <is>
          <t>Maexico : Editorial J. Mortiz, 1964]</t>
        </is>
      </c>
      <c r="M897" t="inlineStr">
        <is>
          <t>1964</t>
        </is>
      </c>
      <c r="N897" t="inlineStr">
        <is>
          <t>[1. ed.</t>
        </is>
      </c>
      <c r="O897" t="inlineStr">
        <is>
          <t>spa</t>
        </is>
      </c>
      <c r="P897" t="inlineStr">
        <is>
          <t xml:space="preserve">mx </t>
        </is>
      </c>
      <c r="Q897" t="inlineStr">
        <is>
          <t>El Legado de la America indigena</t>
        </is>
      </c>
      <c r="R897" t="inlineStr">
        <is>
          <t xml:space="preserve">PM </t>
        </is>
      </c>
      <c r="S897" t="n">
        <v>2</v>
      </c>
      <c r="T897" t="n">
        <v>2</v>
      </c>
      <c r="U897" t="inlineStr">
        <is>
          <t>2004-08-04</t>
        </is>
      </c>
      <c r="V897" t="inlineStr">
        <is>
          <t>2004-08-04</t>
        </is>
      </c>
      <c r="W897" t="inlineStr">
        <is>
          <t>2004-08-04</t>
        </is>
      </c>
      <c r="X897" t="inlineStr">
        <is>
          <t>2004-08-04</t>
        </is>
      </c>
      <c r="Y897" t="n">
        <v>175</v>
      </c>
      <c r="Z897" t="n">
        <v>149</v>
      </c>
      <c r="AA897" t="n">
        <v>301</v>
      </c>
      <c r="AB897" t="n">
        <v>3</v>
      </c>
      <c r="AC897" t="n">
        <v>3</v>
      </c>
      <c r="AD897" t="n">
        <v>6</v>
      </c>
      <c r="AE897" t="n">
        <v>16</v>
      </c>
      <c r="AF897" t="n">
        <v>0</v>
      </c>
      <c r="AG897" t="n">
        <v>3</v>
      </c>
      <c r="AH897" t="n">
        <v>3</v>
      </c>
      <c r="AI897" t="n">
        <v>7</v>
      </c>
      <c r="AJ897" t="n">
        <v>3</v>
      </c>
      <c r="AK897" t="n">
        <v>9</v>
      </c>
      <c r="AL897" t="n">
        <v>2</v>
      </c>
      <c r="AM897" t="n">
        <v>2</v>
      </c>
      <c r="AN897" t="n">
        <v>0</v>
      </c>
      <c r="AO897" t="n">
        <v>0</v>
      </c>
      <c r="AP897" t="inlineStr">
        <is>
          <t>No</t>
        </is>
      </c>
      <c r="AQ897" t="inlineStr">
        <is>
          <t>Yes</t>
        </is>
      </c>
      <c r="AR897">
        <f>HYPERLINK("http://catalog.hathitrust.org/Record/001009935","HathiTrust Record")</f>
        <v/>
      </c>
      <c r="AS897">
        <f>HYPERLINK("https://creighton-primo.hosted.exlibrisgroup.com/primo-explore/search?tab=default_tab&amp;search_scope=EVERYTHING&amp;vid=01CRU&amp;lang=en_US&amp;offset=0&amp;query=any,contains,991004337129702656","Catalog Record")</f>
        <v/>
      </c>
      <c r="AT897">
        <f>HYPERLINK("http://www.worldcat.org/oclc/328120","WorldCat Record")</f>
        <v/>
      </c>
      <c r="AU897" t="inlineStr">
        <is>
          <t>60677625:spa</t>
        </is>
      </c>
      <c r="AV897" t="inlineStr">
        <is>
          <t>328120</t>
        </is>
      </c>
      <c r="AW897" t="inlineStr">
        <is>
          <t>991004337129702656</t>
        </is>
      </c>
      <c r="AX897" t="inlineStr">
        <is>
          <t>991004337129702656</t>
        </is>
      </c>
      <c r="AY897" t="inlineStr">
        <is>
          <t>2271540450002656</t>
        </is>
      </c>
      <c r="AZ897" t="inlineStr">
        <is>
          <t>BOOK</t>
        </is>
      </c>
      <c r="BC897" t="inlineStr">
        <is>
          <t>32285004928544</t>
        </is>
      </c>
      <c r="BD897" t="inlineStr">
        <is>
          <t>893506726</t>
        </is>
      </c>
    </row>
    <row r="898">
      <c r="A898" t="inlineStr">
        <is>
          <t>No</t>
        </is>
      </c>
      <c r="B898" t="inlineStr">
        <is>
          <t>PM4068.5.A2 L5 1978</t>
        </is>
      </c>
      <c r="C898" t="inlineStr">
        <is>
          <t>0                      PM 4068500A  2                  L  5           1978</t>
        </is>
      </c>
      <c r="D898" t="inlineStr">
        <is>
          <t>Literatura del México antiguo : los textos en lengua nahuatl / edición, estudios introductorios y versiones de textos de Miguel León-Portilla.</t>
        </is>
      </c>
      <c r="F898" t="inlineStr">
        <is>
          <t>No</t>
        </is>
      </c>
      <c r="G898" t="inlineStr">
        <is>
          <t>1</t>
        </is>
      </c>
      <c r="H898" t="inlineStr">
        <is>
          <t>No</t>
        </is>
      </c>
      <c r="I898" t="inlineStr">
        <is>
          <t>No</t>
        </is>
      </c>
      <c r="J898" t="inlineStr">
        <is>
          <t>0</t>
        </is>
      </c>
      <c r="L898" t="inlineStr">
        <is>
          <t>Caracas : Biblioteca Ayacucho, [1978]</t>
        </is>
      </c>
      <c r="M898" t="inlineStr">
        <is>
          <t>1978</t>
        </is>
      </c>
      <c r="O898" t="inlineStr">
        <is>
          <t>spa</t>
        </is>
      </c>
      <c r="P898" t="inlineStr">
        <is>
          <t xml:space="preserve">ve </t>
        </is>
      </c>
      <c r="Q898" t="inlineStr">
        <is>
          <t>Biblioteca Ayacucho ; 28</t>
        </is>
      </c>
      <c r="R898" t="inlineStr">
        <is>
          <t xml:space="preserve">PM </t>
        </is>
      </c>
      <c r="S898" t="n">
        <v>1</v>
      </c>
      <c r="T898" t="n">
        <v>1</v>
      </c>
      <c r="U898" t="inlineStr">
        <is>
          <t>2001-11-19</t>
        </is>
      </c>
      <c r="V898" t="inlineStr">
        <is>
          <t>2001-11-19</t>
        </is>
      </c>
      <c r="W898" t="inlineStr">
        <is>
          <t>2001-11-19</t>
        </is>
      </c>
      <c r="X898" t="inlineStr">
        <is>
          <t>2001-11-19</t>
        </is>
      </c>
      <c r="Y898" t="n">
        <v>181</v>
      </c>
      <c r="Z898" t="n">
        <v>119</v>
      </c>
      <c r="AA898" t="n">
        <v>160</v>
      </c>
      <c r="AB898" t="n">
        <v>1</v>
      </c>
      <c r="AC898" t="n">
        <v>2</v>
      </c>
      <c r="AD898" t="n">
        <v>5</v>
      </c>
      <c r="AE898" t="n">
        <v>7</v>
      </c>
      <c r="AF898" t="n">
        <v>0</v>
      </c>
      <c r="AG898" t="n">
        <v>0</v>
      </c>
      <c r="AH898" t="n">
        <v>4</v>
      </c>
      <c r="AI898" t="n">
        <v>4</v>
      </c>
      <c r="AJ898" t="n">
        <v>3</v>
      </c>
      <c r="AK898" t="n">
        <v>4</v>
      </c>
      <c r="AL898" t="n">
        <v>0</v>
      </c>
      <c r="AM898" t="n">
        <v>1</v>
      </c>
      <c r="AN898" t="n">
        <v>0</v>
      </c>
      <c r="AO898" t="n">
        <v>0</v>
      </c>
      <c r="AP898" t="inlineStr">
        <is>
          <t>No</t>
        </is>
      </c>
      <c r="AQ898" t="inlineStr">
        <is>
          <t>Yes</t>
        </is>
      </c>
      <c r="AR898">
        <f>HYPERLINK("http://catalog.hathitrust.org/Record/000878300","HathiTrust Record")</f>
        <v/>
      </c>
      <c r="AS898">
        <f>HYPERLINK("https://creighton-primo.hosted.exlibrisgroup.com/primo-explore/search?tab=default_tab&amp;search_scope=EVERYTHING&amp;vid=01CRU&amp;lang=en_US&amp;offset=0&amp;query=any,contains,991003682779702656","Catalog Record")</f>
        <v/>
      </c>
      <c r="AT898">
        <f>HYPERLINK("http://www.worldcat.org/oclc/5203974","WorldCat Record")</f>
        <v/>
      </c>
      <c r="AU898" t="inlineStr">
        <is>
          <t>889559007:spa</t>
        </is>
      </c>
      <c r="AV898" t="inlineStr">
        <is>
          <t>5203974</t>
        </is>
      </c>
      <c r="AW898" t="inlineStr">
        <is>
          <t>991003682779702656</t>
        </is>
      </c>
      <c r="AX898" t="inlineStr">
        <is>
          <t>991003682779702656</t>
        </is>
      </c>
      <c r="AY898" t="inlineStr">
        <is>
          <t>2266484870002656</t>
        </is>
      </c>
      <c r="AZ898" t="inlineStr">
        <is>
          <t>BOOK</t>
        </is>
      </c>
      <c r="BC898" t="inlineStr">
        <is>
          <t>32285004412572</t>
        </is>
      </c>
      <c r="BD898" t="inlineStr">
        <is>
          <t>893525097</t>
        </is>
      </c>
    </row>
    <row r="899">
      <c r="A899" t="inlineStr">
        <is>
          <t>No</t>
        </is>
      </c>
      <c r="B899" t="inlineStr">
        <is>
          <t>PM4068.6 .C3 1985</t>
        </is>
      </c>
      <c r="C899" t="inlineStr">
        <is>
          <t>0                      PM 4068600C  3           1985</t>
        </is>
      </c>
      <c r="D899" t="inlineStr">
        <is>
          <t>Cantares mexicanos = Songs of the Aztecs / translated from the Nahuatl, with an introduction and commentary, by John Bierhorst.</t>
        </is>
      </c>
      <c r="F899" t="inlineStr">
        <is>
          <t>No</t>
        </is>
      </c>
      <c r="G899" t="inlineStr">
        <is>
          <t>1</t>
        </is>
      </c>
      <c r="H899" t="inlineStr">
        <is>
          <t>No</t>
        </is>
      </c>
      <c r="I899" t="inlineStr">
        <is>
          <t>No</t>
        </is>
      </c>
      <c r="J899" t="inlineStr">
        <is>
          <t>0</t>
        </is>
      </c>
      <c r="K899" t="inlineStr">
        <is>
          <t>Cantares en idioma mexicano. English &amp; Nahuatl.</t>
        </is>
      </c>
      <c r="L899" t="inlineStr">
        <is>
          <t>Stanford, Calif. : Stanford University Press, 1985.</t>
        </is>
      </c>
      <c r="M899" t="inlineStr">
        <is>
          <t>1985</t>
        </is>
      </c>
      <c r="O899" t="inlineStr">
        <is>
          <t>eng</t>
        </is>
      </c>
      <c r="P899" t="inlineStr">
        <is>
          <t>cau</t>
        </is>
      </c>
      <c r="R899" t="inlineStr">
        <is>
          <t xml:space="preserve">PM </t>
        </is>
      </c>
      <c r="S899" t="n">
        <v>1</v>
      </c>
      <c r="T899" t="n">
        <v>1</v>
      </c>
      <c r="U899" t="inlineStr">
        <is>
          <t>2009-02-23</t>
        </is>
      </c>
      <c r="V899" t="inlineStr">
        <is>
          <t>2009-02-23</t>
        </is>
      </c>
      <c r="W899" t="inlineStr">
        <is>
          <t>1997-04-30</t>
        </is>
      </c>
      <c r="X899" t="inlineStr">
        <is>
          <t>1997-04-30</t>
        </is>
      </c>
      <c r="Y899" t="n">
        <v>332</v>
      </c>
      <c r="Z899" t="n">
        <v>274</v>
      </c>
      <c r="AA899" t="n">
        <v>274</v>
      </c>
      <c r="AB899" t="n">
        <v>2</v>
      </c>
      <c r="AC899" t="n">
        <v>2</v>
      </c>
      <c r="AD899" t="n">
        <v>14</v>
      </c>
      <c r="AE899" t="n">
        <v>14</v>
      </c>
      <c r="AF899" t="n">
        <v>3</v>
      </c>
      <c r="AG899" t="n">
        <v>3</v>
      </c>
      <c r="AH899" t="n">
        <v>3</v>
      </c>
      <c r="AI899" t="n">
        <v>3</v>
      </c>
      <c r="AJ899" t="n">
        <v>11</v>
      </c>
      <c r="AK899" t="n">
        <v>11</v>
      </c>
      <c r="AL899" t="n">
        <v>1</v>
      </c>
      <c r="AM899" t="n">
        <v>1</v>
      </c>
      <c r="AN899" t="n">
        <v>0</v>
      </c>
      <c r="AO899" t="n">
        <v>0</v>
      </c>
      <c r="AP899" t="inlineStr">
        <is>
          <t>No</t>
        </is>
      </c>
      <c r="AQ899" t="inlineStr">
        <is>
          <t>No</t>
        </is>
      </c>
      <c r="AS899">
        <f>HYPERLINK("https://creighton-primo.hosted.exlibrisgroup.com/primo-explore/search?tab=default_tab&amp;search_scope=EVERYTHING&amp;vid=01CRU&amp;lang=en_US&amp;offset=0&amp;query=any,contains,991000501399702656","Catalog Record")</f>
        <v/>
      </c>
      <c r="AT899">
        <f>HYPERLINK("http://www.worldcat.org/oclc/11185910","WorldCat Record")</f>
        <v/>
      </c>
      <c r="AU899" t="inlineStr">
        <is>
          <t>10596072457:eng</t>
        </is>
      </c>
      <c r="AV899" t="inlineStr">
        <is>
          <t>11185910</t>
        </is>
      </c>
      <c r="AW899" t="inlineStr">
        <is>
          <t>991000501399702656</t>
        </is>
      </c>
      <c r="AX899" t="inlineStr">
        <is>
          <t>991000501399702656</t>
        </is>
      </c>
      <c r="AY899" t="inlineStr">
        <is>
          <t>2261880650002656</t>
        </is>
      </c>
      <c r="AZ899" t="inlineStr">
        <is>
          <t>BOOK</t>
        </is>
      </c>
      <c r="BB899" t="inlineStr">
        <is>
          <t>9780804711821</t>
        </is>
      </c>
      <c r="BC899" t="inlineStr">
        <is>
          <t>32285002542842</t>
        </is>
      </c>
      <c r="BD899" t="inlineStr">
        <is>
          <t>893595598</t>
        </is>
      </c>
    </row>
    <row r="900">
      <c r="A900" t="inlineStr">
        <is>
          <t>No</t>
        </is>
      </c>
      <c r="B900" t="inlineStr">
        <is>
          <t>PM4068.9.N4 Z72 1972</t>
        </is>
      </c>
      <c r="C900" t="inlineStr">
        <is>
          <t>0                      PM 4068900N  4                  Z  72          1972</t>
        </is>
      </c>
      <c r="D900" t="inlineStr">
        <is>
          <t>Nezahualcóyotl : vida y obra / por José Luis Martínez.</t>
        </is>
      </c>
      <c r="F900" t="inlineStr">
        <is>
          <t>No</t>
        </is>
      </c>
      <c r="G900" t="inlineStr">
        <is>
          <t>1</t>
        </is>
      </c>
      <c r="H900" t="inlineStr">
        <is>
          <t>No</t>
        </is>
      </c>
      <c r="I900" t="inlineStr">
        <is>
          <t>No</t>
        </is>
      </c>
      <c r="J900" t="inlineStr">
        <is>
          <t>0</t>
        </is>
      </c>
      <c r="K900" t="inlineStr">
        <is>
          <t>Martínez, José Luis, 1918-2007.</t>
        </is>
      </c>
      <c r="L900" t="inlineStr">
        <is>
          <t>México : Fondo de Cultura Económica, [1972]</t>
        </is>
      </c>
      <c r="M900" t="inlineStr">
        <is>
          <t>1972</t>
        </is>
      </c>
      <c r="N900" t="inlineStr">
        <is>
          <t>[1a ed.]</t>
        </is>
      </c>
      <c r="O900" t="inlineStr">
        <is>
          <t>spa</t>
        </is>
      </c>
      <c r="P900" t="inlineStr">
        <is>
          <t xml:space="preserve">mx </t>
        </is>
      </c>
      <c r="Q900" t="inlineStr">
        <is>
          <t>Biblioteca Americana. Serie de literatura indígena : pensamiento y acción</t>
        </is>
      </c>
      <c r="R900" t="inlineStr">
        <is>
          <t xml:space="preserve">PM </t>
        </is>
      </c>
      <c r="S900" t="n">
        <v>2</v>
      </c>
      <c r="T900" t="n">
        <v>2</v>
      </c>
      <c r="U900" t="inlineStr">
        <is>
          <t>2009-02-23</t>
        </is>
      </c>
      <c r="V900" t="inlineStr">
        <is>
          <t>2009-02-23</t>
        </is>
      </c>
      <c r="W900" t="inlineStr">
        <is>
          <t>1997-06-05</t>
        </is>
      </c>
      <c r="X900" t="inlineStr">
        <is>
          <t>1997-06-05</t>
        </is>
      </c>
      <c r="Y900" t="n">
        <v>214</v>
      </c>
      <c r="Z900" t="n">
        <v>178</v>
      </c>
      <c r="AA900" t="n">
        <v>232</v>
      </c>
      <c r="AB900" t="n">
        <v>2</v>
      </c>
      <c r="AC900" t="n">
        <v>2</v>
      </c>
      <c r="AD900" t="n">
        <v>6</v>
      </c>
      <c r="AE900" t="n">
        <v>6</v>
      </c>
      <c r="AF900" t="n">
        <v>0</v>
      </c>
      <c r="AG900" t="n">
        <v>0</v>
      </c>
      <c r="AH900" t="n">
        <v>3</v>
      </c>
      <c r="AI900" t="n">
        <v>3</v>
      </c>
      <c r="AJ900" t="n">
        <v>4</v>
      </c>
      <c r="AK900" t="n">
        <v>4</v>
      </c>
      <c r="AL900" t="n">
        <v>1</v>
      </c>
      <c r="AM900" t="n">
        <v>1</v>
      </c>
      <c r="AN900" t="n">
        <v>0</v>
      </c>
      <c r="AO900" t="n">
        <v>0</v>
      </c>
      <c r="AP900" t="inlineStr">
        <is>
          <t>No</t>
        </is>
      </c>
      <c r="AQ900" t="inlineStr">
        <is>
          <t>Yes</t>
        </is>
      </c>
      <c r="AR900">
        <f>HYPERLINK("http://catalog.hathitrust.org/Record/001009953","HathiTrust Record")</f>
        <v/>
      </c>
      <c r="AS900">
        <f>HYPERLINK("https://creighton-primo.hosted.exlibrisgroup.com/primo-explore/search?tab=default_tab&amp;search_scope=EVERYTHING&amp;vid=01CRU&amp;lang=en_US&amp;offset=0&amp;query=any,contains,991003458219702656","Catalog Record")</f>
        <v/>
      </c>
      <c r="AT900">
        <f>HYPERLINK("http://www.worldcat.org/oclc/998548","WorldCat Record")</f>
        <v/>
      </c>
      <c r="AU900" t="inlineStr">
        <is>
          <t>197500904:spa</t>
        </is>
      </c>
      <c r="AV900" t="inlineStr">
        <is>
          <t>998548</t>
        </is>
      </c>
      <c r="AW900" t="inlineStr">
        <is>
          <t>991003458219702656</t>
        </is>
      </c>
      <c r="AX900" t="inlineStr">
        <is>
          <t>991003458219702656</t>
        </is>
      </c>
      <c r="AY900" t="inlineStr">
        <is>
          <t>2271781360002656</t>
        </is>
      </c>
      <c r="AZ900" t="inlineStr">
        <is>
          <t>BOOK</t>
        </is>
      </c>
      <c r="BB900" t="inlineStr">
        <is>
          <t>9789681605094</t>
        </is>
      </c>
      <c r="BC900" t="inlineStr">
        <is>
          <t>32285002614898</t>
        </is>
      </c>
      <c r="BD900" t="inlineStr">
        <is>
          <t>893499310</t>
        </is>
      </c>
    </row>
    <row r="901">
      <c r="A901" t="inlineStr">
        <is>
          <t>No</t>
        </is>
      </c>
      <c r="B901" t="inlineStr">
        <is>
          <t>PM4291 .T5</t>
        </is>
      </c>
      <c r="C901" t="inlineStr">
        <is>
          <t>0                      PM 4291000T  5</t>
        </is>
      </c>
      <c r="D901" t="inlineStr">
        <is>
          <t>Tarahumara-English, English-Tarahumara dictionary and an introduction to Tarahumara grammar.</t>
        </is>
      </c>
      <c r="F901" t="inlineStr">
        <is>
          <t>No</t>
        </is>
      </c>
      <c r="G901" t="inlineStr">
        <is>
          <t>1</t>
        </is>
      </c>
      <c r="H901" t="inlineStr">
        <is>
          <t>No</t>
        </is>
      </c>
      <c r="I901" t="inlineStr">
        <is>
          <t>No</t>
        </is>
      </c>
      <c r="J901" t="inlineStr">
        <is>
          <t>0</t>
        </is>
      </c>
      <c r="K901" t="inlineStr">
        <is>
          <t>Thord-Gray, Ivor.</t>
        </is>
      </c>
      <c r="L901" t="inlineStr">
        <is>
          <t>Coral Gables, Fla., University of Miami Press, 1955.</t>
        </is>
      </c>
      <c r="M901" t="inlineStr">
        <is>
          <t>1955</t>
        </is>
      </c>
      <c r="O901" t="inlineStr">
        <is>
          <t>eng</t>
        </is>
      </c>
      <c r="P901" t="inlineStr">
        <is>
          <t>flu</t>
        </is>
      </c>
      <c r="R901" t="inlineStr">
        <is>
          <t xml:space="preserve">PM </t>
        </is>
      </c>
      <c r="S901" t="n">
        <v>0</v>
      </c>
      <c r="T901" t="n">
        <v>0</v>
      </c>
      <c r="U901" t="inlineStr">
        <is>
          <t>2007-11-13</t>
        </is>
      </c>
      <c r="V901" t="inlineStr">
        <is>
          <t>2007-11-13</t>
        </is>
      </c>
      <c r="W901" t="inlineStr">
        <is>
          <t>1997-08-29</t>
        </is>
      </c>
      <c r="X901" t="inlineStr">
        <is>
          <t>1997-08-29</t>
        </is>
      </c>
      <c r="Y901" t="n">
        <v>236</v>
      </c>
      <c r="Z901" t="n">
        <v>195</v>
      </c>
      <c r="AA901" t="n">
        <v>202</v>
      </c>
      <c r="AB901" t="n">
        <v>3</v>
      </c>
      <c r="AC901" t="n">
        <v>3</v>
      </c>
      <c r="AD901" t="n">
        <v>14</v>
      </c>
      <c r="AE901" t="n">
        <v>15</v>
      </c>
      <c r="AF901" t="n">
        <v>4</v>
      </c>
      <c r="AG901" t="n">
        <v>5</v>
      </c>
      <c r="AH901" t="n">
        <v>5</v>
      </c>
      <c r="AI901" t="n">
        <v>5</v>
      </c>
      <c r="AJ901" t="n">
        <v>7</v>
      </c>
      <c r="AK901" t="n">
        <v>8</v>
      </c>
      <c r="AL901" t="n">
        <v>2</v>
      </c>
      <c r="AM901" t="n">
        <v>2</v>
      </c>
      <c r="AN901" t="n">
        <v>0</v>
      </c>
      <c r="AO901" t="n">
        <v>0</v>
      </c>
      <c r="AP901" t="inlineStr">
        <is>
          <t>Yes</t>
        </is>
      </c>
      <c r="AQ901" t="inlineStr">
        <is>
          <t>No</t>
        </is>
      </c>
      <c r="AR901">
        <f>HYPERLINK("http://catalog.hathitrust.org/Record/001009964","HathiTrust Record")</f>
        <v/>
      </c>
      <c r="AS901">
        <f>HYPERLINK("https://creighton-primo.hosted.exlibrisgroup.com/primo-explore/search?tab=default_tab&amp;search_scope=EVERYTHING&amp;vid=01CRU&amp;lang=en_US&amp;offset=0&amp;query=any,contains,991003738589702656","Catalog Record")</f>
        <v/>
      </c>
      <c r="AT901">
        <f>HYPERLINK("http://www.worldcat.org/oclc/1398336","WorldCat Record")</f>
        <v/>
      </c>
      <c r="AU901" t="inlineStr">
        <is>
          <t>2362471:eng</t>
        </is>
      </c>
      <c r="AV901" t="inlineStr">
        <is>
          <t>1398336</t>
        </is>
      </c>
      <c r="AW901" t="inlineStr">
        <is>
          <t>991003738589702656</t>
        </is>
      </c>
      <c r="AX901" t="inlineStr">
        <is>
          <t>991003738589702656</t>
        </is>
      </c>
      <c r="AY901" t="inlineStr">
        <is>
          <t>2263271400002656</t>
        </is>
      </c>
      <c r="AZ901" t="inlineStr">
        <is>
          <t>BOOK</t>
        </is>
      </c>
      <c r="BC901" t="inlineStr">
        <is>
          <t>32285003141958</t>
        </is>
      </c>
      <c r="BD901" t="inlineStr">
        <is>
          <t>893693094</t>
        </is>
      </c>
    </row>
    <row r="902">
      <c r="A902" t="inlineStr">
        <is>
          <t>No</t>
        </is>
      </c>
      <c r="B902" t="inlineStr">
        <is>
          <t>PM483.5 .H9 1981</t>
        </is>
      </c>
      <c r="C902" t="inlineStr">
        <is>
          <t>0                      PM 0483500H  9           1981</t>
        </is>
      </c>
      <c r="D902" t="inlineStr">
        <is>
          <t>"In vain I tried to tell you" : essays in Native American ethnopoetics / Dell Hymes.</t>
        </is>
      </c>
      <c r="F902" t="inlineStr">
        <is>
          <t>No</t>
        </is>
      </c>
      <c r="G902" t="inlineStr">
        <is>
          <t>1</t>
        </is>
      </c>
      <c r="H902" t="inlineStr">
        <is>
          <t>No</t>
        </is>
      </c>
      <c r="I902" t="inlineStr">
        <is>
          <t>No</t>
        </is>
      </c>
      <c r="J902" t="inlineStr">
        <is>
          <t>0</t>
        </is>
      </c>
      <c r="K902" t="inlineStr">
        <is>
          <t>Hymes, Dell H.</t>
        </is>
      </c>
      <c r="L902" t="inlineStr">
        <is>
          <t>Philadelphia : University of Pennsylvania Press, 1981.</t>
        </is>
      </c>
      <c r="M902" t="inlineStr">
        <is>
          <t>1981</t>
        </is>
      </c>
      <c r="O902" t="inlineStr">
        <is>
          <t>eng</t>
        </is>
      </c>
      <c r="P902" t="inlineStr">
        <is>
          <t>pau</t>
        </is>
      </c>
      <c r="Q902" t="inlineStr">
        <is>
          <t>Studies in Native American literature ; 1</t>
        </is>
      </c>
      <c r="R902" t="inlineStr">
        <is>
          <t xml:space="preserve">PM </t>
        </is>
      </c>
      <c r="S902" t="n">
        <v>2</v>
      </c>
      <c r="T902" t="n">
        <v>2</v>
      </c>
      <c r="U902" t="inlineStr">
        <is>
          <t>2010-04-19</t>
        </is>
      </c>
      <c r="V902" t="inlineStr">
        <is>
          <t>2010-04-19</t>
        </is>
      </c>
      <c r="W902" t="inlineStr">
        <is>
          <t>1990-03-14</t>
        </is>
      </c>
      <c r="X902" t="inlineStr">
        <is>
          <t>1990-03-14</t>
        </is>
      </c>
      <c r="Y902" t="n">
        <v>640</v>
      </c>
      <c r="Z902" t="n">
        <v>572</v>
      </c>
      <c r="AA902" t="n">
        <v>865</v>
      </c>
      <c r="AB902" t="n">
        <v>4</v>
      </c>
      <c r="AC902" t="n">
        <v>6</v>
      </c>
      <c r="AD902" t="n">
        <v>24</v>
      </c>
      <c r="AE902" t="n">
        <v>35</v>
      </c>
      <c r="AF902" t="n">
        <v>10</v>
      </c>
      <c r="AG902" t="n">
        <v>16</v>
      </c>
      <c r="AH902" t="n">
        <v>6</v>
      </c>
      <c r="AI902" t="n">
        <v>9</v>
      </c>
      <c r="AJ902" t="n">
        <v>11</v>
      </c>
      <c r="AK902" t="n">
        <v>17</v>
      </c>
      <c r="AL902" t="n">
        <v>3</v>
      </c>
      <c r="AM902" t="n">
        <v>3</v>
      </c>
      <c r="AN902" t="n">
        <v>0</v>
      </c>
      <c r="AO902" t="n">
        <v>0</v>
      </c>
      <c r="AP902" t="inlineStr">
        <is>
          <t>No</t>
        </is>
      </c>
      <c r="AQ902" t="inlineStr">
        <is>
          <t>Yes</t>
        </is>
      </c>
      <c r="AR902">
        <f>HYPERLINK("http://catalog.hathitrust.org/Record/000266309","HathiTrust Record")</f>
        <v/>
      </c>
      <c r="AS902">
        <f>HYPERLINK("https://creighton-primo.hosted.exlibrisgroup.com/primo-explore/search?tab=default_tab&amp;search_scope=EVERYTHING&amp;vid=01CRU&amp;lang=en_US&amp;offset=0&amp;query=any,contains,991005128339702656","Catalog Record")</f>
        <v/>
      </c>
      <c r="AT902">
        <f>HYPERLINK("http://www.worldcat.org/oclc/7555043","WorldCat Record")</f>
        <v/>
      </c>
      <c r="AU902" t="inlineStr">
        <is>
          <t>452228700:eng</t>
        </is>
      </c>
      <c r="AV902" t="inlineStr">
        <is>
          <t>7555043</t>
        </is>
      </c>
      <c r="AW902" t="inlineStr">
        <is>
          <t>991005128339702656</t>
        </is>
      </c>
      <c r="AX902" t="inlineStr">
        <is>
          <t>991005128339702656</t>
        </is>
      </c>
      <c r="AY902" t="inlineStr">
        <is>
          <t>2266363780002656</t>
        </is>
      </c>
      <c r="AZ902" t="inlineStr">
        <is>
          <t>BOOK</t>
        </is>
      </c>
      <c r="BB902" t="inlineStr">
        <is>
          <t>9780812211177</t>
        </is>
      </c>
      <c r="BC902" t="inlineStr">
        <is>
          <t>32285000084433</t>
        </is>
      </c>
      <c r="BD902" t="inlineStr">
        <is>
          <t>893701063</t>
        </is>
      </c>
    </row>
    <row r="903">
      <c r="A903" t="inlineStr">
        <is>
          <t>No</t>
        </is>
      </c>
      <c r="B903" t="inlineStr">
        <is>
          <t>PM5008 .L36 1991</t>
        </is>
      </c>
      <c r="C903" t="inlineStr">
        <is>
          <t>0                      PM 5008000L  36          1991</t>
        </is>
      </c>
      <c r="D903" t="inlineStr">
        <is>
          <t>Language change in South American Indian languages / edited by Mary Ritchie Key.</t>
        </is>
      </c>
      <c r="F903" t="inlineStr">
        <is>
          <t>No</t>
        </is>
      </c>
      <c r="G903" t="inlineStr">
        <is>
          <t>1</t>
        </is>
      </c>
      <c r="H903" t="inlineStr">
        <is>
          <t>No</t>
        </is>
      </c>
      <c r="I903" t="inlineStr">
        <is>
          <t>No</t>
        </is>
      </c>
      <c r="J903" t="inlineStr">
        <is>
          <t>0</t>
        </is>
      </c>
      <c r="L903" t="inlineStr">
        <is>
          <t>Philadelphia : University of Pennsylvania Press, c1991.</t>
        </is>
      </c>
      <c r="M903" t="inlineStr">
        <is>
          <t>1991</t>
        </is>
      </c>
      <c r="O903" t="inlineStr">
        <is>
          <t>eng</t>
        </is>
      </c>
      <c r="P903" t="inlineStr">
        <is>
          <t>pau</t>
        </is>
      </c>
      <c r="R903" t="inlineStr">
        <is>
          <t xml:space="preserve">PM </t>
        </is>
      </c>
      <c r="S903" t="n">
        <v>1</v>
      </c>
      <c r="T903" t="n">
        <v>1</v>
      </c>
      <c r="U903" t="inlineStr">
        <is>
          <t>2003-06-03</t>
        </is>
      </c>
      <c r="V903" t="inlineStr">
        <is>
          <t>2003-06-03</t>
        </is>
      </c>
      <c r="W903" t="inlineStr">
        <is>
          <t>2003-06-02</t>
        </is>
      </c>
      <c r="X903" t="inlineStr">
        <is>
          <t>2003-06-02</t>
        </is>
      </c>
      <c r="Y903" t="n">
        <v>222</v>
      </c>
      <c r="Z903" t="n">
        <v>167</v>
      </c>
      <c r="AA903" t="n">
        <v>403</v>
      </c>
      <c r="AB903" t="n">
        <v>2</v>
      </c>
      <c r="AC903" t="n">
        <v>2</v>
      </c>
      <c r="AD903" t="n">
        <v>5</v>
      </c>
      <c r="AE903" t="n">
        <v>16</v>
      </c>
      <c r="AF903" t="n">
        <v>0</v>
      </c>
      <c r="AG903" t="n">
        <v>7</v>
      </c>
      <c r="AH903" t="n">
        <v>1</v>
      </c>
      <c r="AI903" t="n">
        <v>4</v>
      </c>
      <c r="AJ903" t="n">
        <v>4</v>
      </c>
      <c r="AK903" t="n">
        <v>9</v>
      </c>
      <c r="AL903" t="n">
        <v>1</v>
      </c>
      <c r="AM903" t="n">
        <v>1</v>
      </c>
      <c r="AN903" t="n">
        <v>0</v>
      </c>
      <c r="AO903" t="n">
        <v>0</v>
      </c>
      <c r="AP903" t="inlineStr">
        <is>
          <t>No</t>
        </is>
      </c>
      <c r="AQ903" t="inlineStr">
        <is>
          <t>Yes</t>
        </is>
      </c>
      <c r="AR903">
        <f>HYPERLINK("http://catalog.hathitrust.org/Record/002475525","HathiTrust Record")</f>
        <v/>
      </c>
      <c r="AS903">
        <f>HYPERLINK("https://creighton-primo.hosted.exlibrisgroup.com/primo-explore/search?tab=default_tab&amp;search_scope=EVERYTHING&amp;vid=01CRU&amp;lang=en_US&amp;offset=0&amp;query=any,contains,991004067669702656","Catalog Record")</f>
        <v/>
      </c>
      <c r="AT903">
        <f>HYPERLINK("http://www.worldcat.org/oclc/22906513","WorldCat Record")</f>
        <v/>
      </c>
      <c r="AU903" t="inlineStr">
        <is>
          <t>55413400:eng</t>
        </is>
      </c>
      <c r="AV903" t="inlineStr">
        <is>
          <t>22906513</t>
        </is>
      </c>
      <c r="AW903" t="inlineStr">
        <is>
          <t>991004067669702656</t>
        </is>
      </c>
      <c r="AX903" t="inlineStr">
        <is>
          <t>991004067669702656</t>
        </is>
      </c>
      <c r="AY903" t="inlineStr">
        <is>
          <t>2262241020002656</t>
        </is>
      </c>
      <c r="AZ903" t="inlineStr">
        <is>
          <t>BOOK</t>
        </is>
      </c>
      <c r="BB903" t="inlineStr">
        <is>
          <t>9780812230604</t>
        </is>
      </c>
      <c r="BC903" t="inlineStr">
        <is>
          <t>32285004749908</t>
        </is>
      </c>
      <c r="BD903" t="inlineStr">
        <is>
          <t>893512785</t>
        </is>
      </c>
    </row>
    <row r="904">
      <c r="A904" t="inlineStr">
        <is>
          <t>No</t>
        </is>
      </c>
      <c r="B904" t="inlineStr">
        <is>
          <t>PM5291 .L5 1980</t>
        </is>
      </c>
      <c r="C904" t="inlineStr">
        <is>
          <t>0                      PM 5291000L  5           1980</t>
        </is>
      </c>
      <c r="D904" t="inlineStr">
        <is>
          <t>Literaturas indígenas venezolanas : (visión panorámica actual de las literaturas indígenas venezolanas) / Cesáreo de Armellada, Carmela Bentivenga de Napolitano.</t>
        </is>
      </c>
      <c r="F904" t="inlineStr">
        <is>
          <t>No</t>
        </is>
      </c>
      <c r="G904" t="inlineStr">
        <is>
          <t>1</t>
        </is>
      </c>
      <c r="H904" t="inlineStr">
        <is>
          <t>No</t>
        </is>
      </c>
      <c r="I904" t="inlineStr">
        <is>
          <t>No</t>
        </is>
      </c>
      <c r="J904" t="inlineStr">
        <is>
          <t>0</t>
        </is>
      </c>
      <c r="L904" t="inlineStr">
        <is>
          <t>Caracas, Venezuela : Monte Avila Editores, c1980</t>
        </is>
      </c>
      <c r="M904" t="inlineStr">
        <is>
          <t>1980</t>
        </is>
      </c>
      <c r="N904" t="inlineStr">
        <is>
          <t>2. ed. corr. y aum.</t>
        </is>
      </c>
      <c r="O904" t="inlineStr">
        <is>
          <t>spa</t>
        </is>
      </c>
      <c r="P904" t="inlineStr">
        <is>
          <t xml:space="preserve">ve </t>
        </is>
      </c>
      <c r="Q904" t="inlineStr">
        <is>
          <t>Colección Estudios</t>
        </is>
      </c>
      <c r="R904" t="inlineStr">
        <is>
          <t xml:space="preserve">PM </t>
        </is>
      </c>
      <c r="S904" t="n">
        <v>7</v>
      </c>
      <c r="T904" t="n">
        <v>7</v>
      </c>
      <c r="U904" t="inlineStr">
        <is>
          <t>2004-03-04</t>
        </is>
      </c>
      <c r="V904" t="inlineStr">
        <is>
          <t>2004-03-04</t>
        </is>
      </c>
      <c r="W904" t="inlineStr">
        <is>
          <t>2001-12-10</t>
        </is>
      </c>
      <c r="X904" t="inlineStr">
        <is>
          <t>2001-12-10</t>
        </is>
      </c>
      <c r="Y904" t="n">
        <v>32</v>
      </c>
      <c r="Z904" t="n">
        <v>27</v>
      </c>
      <c r="AA904" t="n">
        <v>116</v>
      </c>
      <c r="AB904" t="n">
        <v>1</v>
      </c>
      <c r="AC904" t="n">
        <v>1</v>
      </c>
      <c r="AD904" t="n">
        <v>1</v>
      </c>
      <c r="AE904" t="n">
        <v>4</v>
      </c>
      <c r="AF904" t="n">
        <v>0</v>
      </c>
      <c r="AG904" t="n">
        <v>0</v>
      </c>
      <c r="AH904" t="n">
        <v>1</v>
      </c>
      <c r="AI904" t="n">
        <v>2</v>
      </c>
      <c r="AJ904" t="n">
        <v>0</v>
      </c>
      <c r="AK904" t="n">
        <v>3</v>
      </c>
      <c r="AL904" t="n">
        <v>0</v>
      </c>
      <c r="AM904" t="n">
        <v>0</v>
      </c>
      <c r="AN904" t="n">
        <v>0</v>
      </c>
      <c r="AO904" t="n">
        <v>0</v>
      </c>
      <c r="AP904" t="inlineStr">
        <is>
          <t>No</t>
        </is>
      </c>
      <c r="AQ904" t="inlineStr">
        <is>
          <t>Yes</t>
        </is>
      </c>
      <c r="AR904">
        <f>HYPERLINK("http://catalog.hathitrust.org/Record/009848386","HathiTrust Record")</f>
        <v/>
      </c>
      <c r="AS904">
        <f>HYPERLINK("https://creighton-primo.hosted.exlibrisgroup.com/primo-explore/search?tab=default_tab&amp;search_scope=EVERYTHING&amp;vid=01CRU&amp;lang=en_US&amp;offset=0&amp;query=any,contains,991003693039702656","Catalog Record")</f>
        <v/>
      </c>
      <c r="AT904">
        <f>HYPERLINK("http://www.worldcat.org/oclc/11079817","WorldCat Record")</f>
        <v/>
      </c>
      <c r="AU904" t="inlineStr">
        <is>
          <t>906467805:spa</t>
        </is>
      </c>
      <c r="AV904" t="inlineStr">
        <is>
          <t>11079817</t>
        </is>
      </c>
      <c r="AW904" t="inlineStr">
        <is>
          <t>991003693039702656</t>
        </is>
      </c>
      <c r="AX904" t="inlineStr">
        <is>
          <t>991003693039702656</t>
        </is>
      </c>
      <c r="AY904" t="inlineStr">
        <is>
          <t>2258343150002656</t>
        </is>
      </c>
      <c r="AZ904" t="inlineStr">
        <is>
          <t>BOOK</t>
        </is>
      </c>
      <c r="BC904" t="inlineStr">
        <is>
          <t>32285004426986</t>
        </is>
      </c>
      <c r="BD904" t="inlineStr">
        <is>
          <t>893499586</t>
        </is>
      </c>
    </row>
    <row r="905">
      <c r="A905" t="inlineStr">
        <is>
          <t>No</t>
        </is>
      </c>
      <c r="B905" t="inlineStr">
        <is>
          <t>PM605 .S5</t>
        </is>
      </c>
      <c r="C905" t="inlineStr">
        <is>
          <t>0                      PM 0605000S  5</t>
        </is>
      </c>
      <c r="D905" t="inlineStr">
        <is>
          <t>The Viking and the red man; the Old Norse origin of the Algonquin language, by Reider T. Sherwin.</t>
        </is>
      </c>
      <c r="F905" t="inlineStr">
        <is>
          <t>Yes</t>
        </is>
      </c>
      <c r="G905" t="inlineStr">
        <is>
          <t>1</t>
        </is>
      </c>
      <c r="H905" t="inlineStr">
        <is>
          <t>No</t>
        </is>
      </c>
      <c r="I905" t="inlineStr">
        <is>
          <t>No</t>
        </is>
      </c>
      <c r="J905" t="inlineStr">
        <is>
          <t>0</t>
        </is>
      </c>
      <c r="K905" t="inlineStr">
        <is>
          <t>Sherwin, Reider T. (Reider Thorbjorn), 1894-</t>
        </is>
      </c>
      <c r="L905" t="inlineStr">
        <is>
          <t>New York, Funk &amp; Wagnalls Company, 1940-1956.</t>
        </is>
      </c>
      <c r="M905" t="inlineStr">
        <is>
          <t>1940</t>
        </is>
      </c>
      <c r="N905" t="inlineStr">
        <is>
          <t>"First edition."</t>
        </is>
      </c>
      <c r="O905" t="inlineStr">
        <is>
          <t>eng</t>
        </is>
      </c>
      <c r="P905" t="inlineStr">
        <is>
          <t>nyu</t>
        </is>
      </c>
      <c r="R905" t="inlineStr">
        <is>
          <t xml:space="preserve">PM </t>
        </is>
      </c>
      <c r="S905" t="n">
        <v>2</v>
      </c>
      <c r="T905" t="n">
        <v>2</v>
      </c>
      <c r="U905" t="inlineStr">
        <is>
          <t>2004-09-27</t>
        </is>
      </c>
      <c r="V905" t="inlineStr">
        <is>
          <t>2004-09-27</t>
        </is>
      </c>
      <c r="W905" t="inlineStr">
        <is>
          <t>1997-08-29</t>
        </is>
      </c>
      <c r="X905" t="inlineStr">
        <is>
          <t>1997-08-29</t>
        </is>
      </c>
      <c r="Y905" t="n">
        <v>344</v>
      </c>
      <c r="Z905" t="n">
        <v>309</v>
      </c>
      <c r="AA905" t="n">
        <v>320</v>
      </c>
      <c r="AB905" t="n">
        <v>2</v>
      </c>
      <c r="AC905" t="n">
        <v>2</v>
      </c>
      <c r="AD905" t="n">
        <v>15</v>
      </c>
      <c r="AE905" t="n">
        <v>15</v>
      </c>
      <c r="AF905" t="n">
        <v>3</v>
      </c>
      <c r="AG905" t="n">
        <v>3</v>
      </c>
      <c r="AH905" t="n">
        <v>5</v>
      </c>
      <c r="AI905" t="n">
        <v>5</v>
      </c>
      <c r="AJ905" t="n">
        <v>9</v>
      </c>
      <c r="AK905" t="n">
        <v>9</v>
      </c>
      <c r="AL905" t="n">
        <v>1</v>
      </c>
      <c r="AM905" t="n">
        <v>1</v>
      </c>
      <c r="AN905" t="n">
        <v>0</v>
      </c>
      <c r="AO905" t="n">
        <v>0</v>
      </c>
      <c r="AP905" t="inlineStr">
        <is>
          <t>Yes</t>
        </is>
      </c>
      <c r="AQ905" t="inlineStr">
        <is>
          <t>Yes</t>
        </is>
      </c>
      <c r="AR905">
        <f>HYPERLINK("http://catalog.hathitrust.org/Record/001009883","HathiTrust Record")</f>
        <v/>
      </c>
      <c r="AS905">
        <f>HYPERLINK("https://creighton-primo.hosted.exlibrisgroup.com/primo-explore/search?tab=default_tab&amp;search_scope=EVERYTHING&amp;vid=01CRU&amp;lang=en_US&amp;offset=0&amp;query=any,contains,991004485699702656","Catalog Record")</f>
        <v/>
      </c>
      <c r="AT905">
        <f>HYPERLINK("http://www.worldcat.org/oclc/331130","WorldCat Record")</f>
        <v/>
      </c>
      <c r="AU905" t="inlineStr">
        <is>
          <t>1432343:eng</t>
        </is>
      </c>
      <c r="AV905" t="inlineStr">
        <is>
          <t>331130</t>
        </is>
      </c>
      <c r="AW905" t="inlineStr">
        <is>
          <t>991004485699702656</t>
        </is>
      </c>
      <c r="AX905" t="inlineStr">
        <is>
          <t>991004485699702656</t>
        </is>
      </c>
      <c r="AY905" t="inlineStr">
        <is>
          <t>2258553200002656</t>
        </is>
      </c>
      <c r="AZ905" t="inlineStr">
        <is>
          <t>BOOK</t>
        </is>
      </c>
      <c r="BC905" t="inlineStr">
        <is>
          <t>32285003141917</t>
        </is>
      </c>
      <c r="BD905" t="inlineStr">
        <is>
          <t>893532446</t>
        </is>
      </c>
    </row>
    <row r="906">
      <c r="A906" t="inlineStr">
        <is>
          <t>No</t>
        </is>
      </c>
      <c r="B906" t="inlineStr">
        <is>
          <t>PM6303 .B5</t>
        </is>
      </c>
      <c r="C906" t="inlineStr">
        <is>
          <t>0                      PM 6303000B  5</t>
        </is>
      </c>
      <c r="D906" t="inlineStr">
        <is>
          <t>An introduction to spoken Bolivian Quechua, by Garland D. Bills, Bernardo Vallejo C., and Rudolph C. Troike.</t>
        </is>
      </c>
      <c r="F906" t="inlineStr">
        <is>
          <t>No</t>
        </is>
      </c>
      <c r="G906" t="inlineStr">
        <is>
          <t>1</t>
        </is>
      </c>
      <c r="H906" t="inlineStr">
        <is>
          <t>No</t>
        </is>
      </c>
      <c r="I906" t="inlineStr">
        <is>
          <t>No</t>
        </is>
      </c>
      <c r="J906" t="inlineStr">
        <is>
          <t>0</t>
        </is>
      </c>
      <c r="K906" t="inlineStr">
        <is>
          <t>Bills, Garland D.</t>
        </is>
      </c>
      <c r="L906" t="inlineStr">
        <is>
          <t>Austin, Published for the Institute of Latin American Studies by the University of Texas Press [1969]</t>
        </is>
      </c>
      <c r="M906" t="inlineStr">
        <is>
          <t>1969</t>
        </is>
      </c>
      <c r="O906" t="inlineStr">
        <is>
          <t>eng</t>
        </is>
      </c>
      <c r="P906" t="inlineStr">
        <is>
          <t>txu</t>
        </is>
      </c>
      <c r="Q906" t="inlineStr">
        <is>
          <t>Special publication of the Institute of Latin American Studies, the University of Texas at Austin</t>
        </is>
      </c>
      <c r="R906" t="inlineStr">
        <is>
          <t xml:space="preserve">PM </t>
        </is>
      </c>
      <c r="S906" t="n">
        <v>2</v>
      </c>
      <c r="T906" t="n">
        <v>2</v>
      </c>
      <c r="U906" t="inlineStr">
        <is>
          <t>1999-07-26</t>
        </is>
      </c>
      <c r="V906" t="inlineStr">
        <is>
          <t>1999-07-26</t>
        </is>
      </c>
      <c r="W906" t="inlineStr">
        <is>
          <t>1997-08-29</t>
        </is>
      </c>
      <c r="X906" t="inlineStr">
        <is>
          <t>1997-08-29</t>
        </is>
      </c>
      <c r="Y906" t="n">
        <v>259</v>
      </c>
      <c r="Z906" t="n">
        <v>225</v>
      </c>
      <c r="AA906" t="n">
        <v>229</v>
      </c>
      <c r="AB906" t="n">
        <v>2</v>
      </c>
      <c r="AC906" t="n">
        <v>2</v>
      </c>
      <c r="AD906" t="n">
        <v>11</v>
      </c>
      <c r="AE906" t="n">
        <v>11</v>
      </c>
      <c r="AF906" t="n">
        <v>1</v>
      </c>
      <c r="AG906" t="n">
        <v>1</v>
      </c>
      <c r="AH906" t="n">
        <v>3</v>
      </c>
      <c r="AI906" t="n">
        <v>3</v>
      </c>
      <c r="AJ906" t="n">
        <v>8</v>
      </c>
      <c r="AK906" t="n">
        <v>8</v>
      </c>
      <c r="AL906" t="n">
        <v>1</v>
      </c>
      <c r="AM906" t="n">
        <v>1</v>
      </c>
      <c r="AN906" t="n">
        <v>0</v>
      </c>
      <c r="AO906" t="n">
        <v>0</v>
      </c>
      <c r="AP906" t="inlineStr">
        <is>
          <t>No</t>
        </is>
      </c>
      <c r="AQ906" t="inlineStr">
        <is>
          <t>Yes</t>
        </is>
      </c>
      <c r="AR906">
        <f>HYPERLINK("http://catalog.hathitrust.org/Record/001009984","HathiTrust Record")</f>
        <v/>
      </c>
      <c r="AS906">
        <f>HYPERLINK("https://creighton-primo.hosted.exlibrisgroup.com/primo-explore/search?tab=default_tab&amp;search_scope=EVERYTHING&amp;vid=01CRU&amp;lang=en_US&amp;offset=0&amp;query=any,contains,991000121139702656","Catalog Record")</f>
        <v/>
      </c>
      <c r="AT906">
        <f>HYPERLINK("http://www.worldcat.org/oclc/50188","WorldCat Record")</f>
        <v/>
      </c>
      <c r="AU906" t="inlineStr">
        <is>
          <t>1166661:eng</t>
        </is>
      </c>
      <c r="AV906" t="inlineStr">
        <is>
          <t>50188</t>
        </is>
      </c>
      <c r="AW906" t="inlineStr">
        <is>
          <t>991000121139702656</t>
        </is>
      </c>
      <c r="AX906" t="inlineStr">
        <is>
          <t>991000121139702656</t>
        </is>
      </c>
      <c r="AY906" t="inlineStr">
        <is>
          <t>2256087830002656</t>
        </is>
      </c>
      <c r="AZ906" t="inlineStr">
        <is>
          <t>BOOK</t>
        </is>
      </c>
      <c r="BB906" t="inlineStr">
        <is>
          <t>9780292700192</t>
        </is>
      </c>
      <c r="BC906" t="inlineStr">
        <is>
          <t>32285003141990</t>
        </is>
      </c>
      <c r="BD906" t="inlineStr">
        <is>
          <t>893351429</t>
        </is>
      </c>
    </row>
    <row r="907">
      <c r="A907" t="inlineStr">
        <is>
          <t>No</t>
        </is>
      </c>
      <c r="B907" t="inlineStr">
        <is>
          <t>PM64.Z95 E5 1973b</t>
        </is>
      </c>
      <c r="C907" t="inlineStr">
        <is>
          <t>0                      PM 0064000Z  95                 E  5           1973b</t>
        </is>
      </c>
      <c r="D907" t="inlineStr">
        <is>
          <t>Eskimo poems from Canada and Greenland. Translated by Tom Lowenstein, from material originally collected by Knud Rasmussen.</t>
        </is>
      </c>
      <c r="F907" t="inlineStr">
        <is>
          <t>No</t>
        </is>
      </c>
      <c r="G907" t="inlineStr">
        <is>
          <t>1</t>
        </is>
      </c>
      <c r="H907" t="inlineStr">
        <is>
          <t>No</t>
        </is>
      </c>
      <c r="I907" t="inlineStr">
        <is>
          <t>No</t>
        </is>
      </c>
      <c r="J907" t="inlineStr">
        <is>
          <t>0</t>
        </is>
      </c>
      <c r="K907" t="inlineStr">
        <is>
          <t>Rasmussen, Knud, 1879-1933.</t>
        </is>
      </c>
      <c r="L907" t="inlineStr">
        <is>
          <t>[Pittsburgh] University of Pittsburgh Press [1973]</t>
        </is>
      </c>
      <c r="M907" t="inlineStr">
        <is>
          <t>1973</t>
        </is>
      </c>
      <c r="O907" t="inlineStr">
        <is>
          <t>eng</t>
        </is>
      </c>
      <c r="P907" t="inlineStr">
        <is>
          <t>pau</t>
        </is>
      </c>
      <c r="Q907" t="inlineStr">
        <is>
          <t>Pitt poetry series</t>
        </is>
      </c>
      <c r="R907" t="inlineStr">
        <is>
          <t xml:space="preserve">PM </t>
        </is>
      </c>
      <c r="S907" t="n">
        <v>1</v>
      </c>
      <c r="T907" t="n">
        <v>1</v>
      </c>
      <c r="U907" t="inlineStr">
        <is>
          <t>1998-04-05</t>
        </is>
      </c>
      <c r="V907" t="inlineStr">
        <is>
          <t>1998-04-05</t>
        </is>
      </c>
      <c r="W907" t="inlineStr">
        <is>
          <t>1997-08-29</t>
        </is>
      </c>
      <c r="X907" t="inlineStr">
        <is>
          <t>1997-08-29</t>
        </is>
      </c>
      <c r="Y907" t="n">
        <v>643</v>
      </c>
      <c r="Z907" t="n">
        <v>583</v>
      </c>
      <c r="AA907" t="n">
        <v>597</v>
      </c>
      <c r="AB907" t="n">
        <v>4</v>
      </c>
      <c r="AC907" t="n">
        <v>4</v>
      </c>
      <c r="AD907" t="n">
        <v>18</v>
      </c>
      <c r="AE907" t="n">
        <v>18</v>
      </c>
      <c r="AF907" t="n">
        <v>7</v>
      </c>
      <c r="AG907" t="n">
        <v>7</v>
      </c>
      <c r="AH907" t="n">
        <v>6</v>
      </c>
      <c r="AI907" t="n">
        <v>6</v>
      </c>
      <c r="AJ907" t="n">
        <v>9</v>
      </c>
      <c r="AK907" t="n">
        <v>9</v>
      </c>
      <c r="AL907" t="n">
        <v>3</v>
      </c>
      <c r="AM907" t="n">
        <v>3</v>
      </c>
      <c r="AN907" t="n">
        <v>0</v>
      </c>
      <c r="AO907" t="n">
        <v>0</v>
      </c>
      <c r="AP907" t="inlineStr">
        <is>
          <t>No</t>
        </is>
      </c>
      <c r="AQ907" t="inlineStr">
        <is>
          <t>Yes</t>
        </is>
      </c>
      <c r="AR907">
        <f>HYPERLINK("http://catalog.hathitrust.org/Record/000014068","HathiTrust Record")</f>
        <v/>
      </c>
      <c r="AS907">
        <f>HYPERLINK("https://creighton-primo.hosted.exlibrisgroup.com/primo-explore/search?tab=default_tab&amp;search_scope=EVERYTHING&amp;vid=01CRU&amp;lang=en_US&amp;offset=0&amp;query=any,contains,991003361069702656","Catalog Record")</f>
        <v/>
      </c>
      <c r="AT907">
        <f>HYPERLINK("http://www.worldcat.org/oclc/897507","WorldCat Record")</f>
        <v/>
      </c>
      <c r="AU907" t="inlineStr">
        <is>
          <t>4159847914:eng</t>
        </is>
      </c>
      <c r="AV907" t="inlineStr">
        <is>
          <t>897507</t>
        </is>
      </c>
      <c r="AW907" t="inlineStr">
        <is>
          <t>991003361069702656</t>
        </is>
      </c>
      <c r="AX907" t="inlineStr">
        <is>
          <t>991003361069702656</t>
        </is>
      </c>
      <c r="AY907" t="inlineStr">
        <is>
          <t>2257529370002656</t>
        </is>
      </c>
      <c r="AZ907" t="inlineStr">
        <is>
          <t>BOOK</t>
        </is>
      </c>
      <c r="BB907" t="inlineStr">
        <is>
          <t>9780822911104</t>
        </is>
      </c>
      <c r="BC907" t="inlineStr">
        <is>
          <t>32285003141909</t>
        </is>
      </c>
      <c r="BD907" t="inlineStr">
        <is>
          <t>893881099</t>
        </is>
      </c>
    </row>
    <row r="908">
      <c r="A908" t="inlineStr">
        <is>
          <t>No</t>
        </is>
      </c>
      <c r="B908" t="inlineStr">
        <is>
          <t>PM7854.M3 B35 1982</t>
        </is>
      </c>
      <c r="C908" t="inlineStr">
        <is>
          <t>0                      PM 7854000M  3                  B  35          1982</t>
        </is>
      </c>
      <c r="D908" t="inlineStr">
        <is>
          <t>Isle de France creole : affinities and origins / Philip Baker, Chris Corne.</t>
        </is>
      </c>
      <c r="F908" t="inlineStr">
        <is>
          <t>No</t>
        </is>
      </c>
      <c r="G908" t="inlineStr">
        <is>
          <t>1</t>
        </is>
      </c>
      <c r="H908" t="inlineStr">
        <is>
          <t>No</t>
        </is>
      </c>
      <c r="I908" t="inlineStr">
        <is>
          <t>No</t>
        </is>
      </c>
      <c r="J908" t="inlineStr">
        <is>
          <t>0</t>
        </is>
      </c>
      <c r="K908" t="inlineStr">
        <is>
          <t>Baker, Philip, 1940-</t>
        </is>
      </c>
      <c r="L908" t="inlineStr">
        <is>
          <t>[Ann Arbor, Mich.] : Karoma, c1982.</t>
        </is>
      </c>
      <c r="M908" t="inlineStr">
        <is>
          <t>1982</t>
        </is>
      </c>
      <c r="O908" t="inlineStr">
        <is>
          <t>eng</t>
        </is>
      </c>
      <c r="P908" t="inlineStr">
        <is>
          <t>miu</t>
        </is>
      </c>
      <c r="R908" t="inlineStr">
        <is>
          <t xml:space="preserve">PM </t>
        </is>
      </c>
      <c r="S908" t="n">
        <v>4</v>
      </c>
      <c r="T908" t="n">
        <v>4</v>
      </c>
      <c r="U908" t="inlineStr">
        <is>
          <t>2001-04-02</t>
        </is>
      </c>
      <c r="V908" t="inlineStr">
        <is>
          <t>2001-04-02</t>
        </is>
      </c>
      <c r="W908" t="inlineStr">
        <is>
          <t>1993-05-05</t>
        </is>
      </c>
      <c r="X908" t="inlineStr">
        <is>
          <t>1993-05-05</t>
        </is>
      </c>
      <c r="Y908" t="n">
        <v>202</v>
      </c>
      <c r="Z908" t="n">
        <v>143</v>
      </c>
      <c r="AA908" t="n">
        <v>145</v>
      </c>
      <c r="AB908" t="n">
        <v>2</v>
      </c>
      <c r="AC908" t="n">
        <v>2</v>
      </c>
      <c r="AD908" t="n">
        <v>3</v>
      </c>
      <c r="AE908" t="n">
        <v>3</v>
      </c>
      <c r="AF908" t="n">
        <v>0</v>
      </c>
      <c r="AG908" t="n">
        <v>0</v>
      </c>
      <c r="AH908" t="n">
        <v>2</v>
      </c>
      <c r="AI908" t="n">
        <v>2</v>
      </c>
      <c r="AJ908" t="n">
        <v>2</v>
      </c>
      <c r="AK908" t="n">
        <v>2</v>
      </c>
      <c r="AL908" t="n">
        <v>1</v>
      </c>
      <c r="AM908" t="n">
        <v>1</v>
      </c>
      <c r="AN908" t="n">
        <v>0</v>
      </c>
      <c r="AO908" t="n">
        <v>0</v>
      </c>
      <c r="AP908" t="inlineStr">
        <is>
          <t>No</t>
        </is>
      </c>
      <c r="AQ908" t="inlineStr">
        <is>
          <t>Yes</t>
        </is>
      </c>
      <c r="AR908">
        <f>HYPERLINK("http://catalog.hathitrust.org/Record/000111627","HathiTrust Record")</f>
        <v/>
      </c>
      <c r="AS908">
        <f>HYPERLINK("https://creighton-primo.hosted.exlibrisgroup.com/primo-explore/search?tab=default_tab&amp;search_scope=EVERYTHING&amp;vid=01CRU&amp;lang=en_US&amp;offset=0&amp;query=any,contains,991000142789702656","Catalog Record")</f>
        <v/>
      </c>
      <c r="AT908">
        <f>HYPERLINK("http://www.worldcat.org/oclc/9171416","WorldCat Record")</f>
        <v/>
      </c>
      <c r="AU908" t="inlineStr">
        <is>
          <t>346006265:eng</t>
        </is>
      </c>
      <c r="AV908" t="inlineStr">
        <is>
          <t>9171416</t>
        </is>
      </c>
      <c r="AW908" t="inlineStr">
        <is>
          <t>991000142789702656</t>
        </is>
      </c>
      <c r="AX908" t="inlineStr">
        <is>
          <t>991000142789702656</t>
        </is>
      </c>
      <c r="AY908" t="inlineStr">
        <is>
          <t>2254926330002656</t>
        </is>
      </c>
      <c r="AZ908" t="inlineStr">
        <is>
          <t>BOOK</t>
        </is>
      </c>
      <c r="BB908" t="inlineStr">
        <is>
          <t>9780897200493</t>
        </is>
      </c>
      <c r="BC908" t="inlineStr">
        <is>
          <t>32285001672764</t>
        </is>
      </c>
      <c r="BD908" t="inlineStr">
        <is>
          <t>893601523</t>
        </is>
      </c>
    </row>
    <row r="909">
      <c r="A909" t="inlineStr">
        <is>
          <t>No</t>
        </is>
      </c>
      <c r="B909" t="inlineStr">
        <is>
          <t>PM7874.G8 B5</t>
        </is>
      </c>
      <c r="C909" t="inlineStr">
        <is>
          <t>0                      PM 7874000G  8                  B  5</t>
        </is>
      </c>
      <c r="D909" t="inlineStr">
        <is>
          <t>Dynamics of a creole system / Derek Bickerton.</t>
        </is>
      </c>
      <c r="F909" t="inlineStr">
        <is>
          <t>No</t>
        </is>
      </c>
      <c r="G909" t="inlineStr">
        <is>
          <t>1</t>
        </is>
      </c>
      <c r="H909" t="inlineStr">
        <is>
          <t>No</t>
        </is>
      </c>
      <c r="I909" t="inlineStr">
        <is>
          <t>No</t>
        </is>
      </c>
      <c r="J909" t="inlineStr">
        <is>
          <t>0</t>
        </is>
      </c>
      <c r="K909" t="inlineStr">
        <is>
          <t>Bickerton, Derek.</t>
        </is>
      </c>
      <c r="L909" t="inlineStr">
        <is>
          <t>London ; New York : Cambridge University Press, 1975.</t>
        </is>
      </c>
      <c r="M909" t="inlineStr">
        <is>
          <t>1975</t>
        </is>
      </c>
      <c r="O909" t="inlineStr">
        <is>
          <t>eng</t>
        </is>
      </c>
      <c r="P909" t="inlineStr">
        <is>
          <t>enk</t>
        </is>
      </c>
      <c r="R909" t="inlineStr">
        <is>
          <t xml:space="preserve">PM </t>
        </is>
      </c>
      <c r="S909" t="n">
        <v>2</v>
      </c>
      <c r="T909" t="n">
        <v>2</v>
      </c>
      <c r="U909" t="inlineStr">
        <is>
          <t>2001-04-02</t>
        </is>
      </c>
      <c r="V909" t="inlineStr">
        <is>
          <t>2001-04-02</t>
        </is>
      </c>
      <c r="W909" t="inlineStr">
        <is>
          <t>1993-12-08</t>
        </is>
      </c>
      <c r="X909" t="inlineStr">
        <is>
          <t>1993-12-08</t>
        </is>
      </c>
      <c r="Y909" t="n">
        <v>515</v>
      </c>
      <c r="Z909" t="n">
        <v>364</v>
      </c>
      <c r="AA909" t="n">
        <v>370</v>
      </c>
      <c r="AB909" t="n">
        <v>5</v>
      </c>
      <c r="AC909" t="n">
        <v>5</v>
      </c>
      <c r="AD909" t="n">
        <v>15</v>
      </c>
      <c r="AE909" t="n">
        <v>15</v>
      </c>
      <c r="AF909" t="n">
        <v>4</v>
      </c>
      <c r="AG909" t="n">
        <v>4</v>
      </c>
      <c r="AH909" t="n">
        <v>3</v>
      </c>
      <c r="AI909" t="n">
        <v>3</v>
      </c>
      <c r="AJ909" t="n">
        <v>6</v>
      </c>
      <c r="AK909" t="n">
        <v>6</v>
      </c>
      <c r="AL909" t="n">
        <v>4</v>
      </c>
      <c r="AM909" t="n">
        <v>4</v>
      </c>
      <c r="AN909" t="n">
        <v>0</v>
      </c>
      <c r="AO909" t="n">
        <v>0</v>
      </c>
      <c r="AP909" t="inlineStr">
        <is>
          <t>No</t>
        </is>
      </c>
      <c r="AQ909" t="inlineStr">
        <is>
          <t>No</t>
        </is>
      </c>
      <c r="AS909">
        <f>HYPERLINK("https://creighton-primo.hosted.exlibrisgroup.com/primo-explore/search?tab=default_tab&amp;search_scope=EVERYTHING&amp;vid=01CRU&amp;lang=en_US&amp;offset=0&amp;query=any,contains,991003692869702656","Catalog Record")</f>
        <v/>
      </c>
      <c r="AT909">
        <f>HYPERLINK("http://www.worldcat.org/oclc/1323690","WorldCat Record")</f>
        <v/>
      </c>
      <c r="AU909" t="inlineStr">
        <is>
          <t>503405:eng</t>
        </is>
      </c>
      <c r="AV909" t="inlineStr">
        <is>
          <t>1323690</t>
        </is>
      </c>
      <c r="AW909" t="inlineStr">
        <is>
          <t>991003692869702656</t>
        </is>
      </c>
      <c r="AX909" t="inlineStr">
        <is>
          <t>991003692869702656</t>
        </is>
      </c>
      <c r="AY909" t="inlineStr">
        <is>
          <t>2256436310002656</t>
        </is>
      </c>
      <c r="AZ909" t="inlineStr">
        <is>
          <t>BOOK</t>
        </is>
      </c>
      <c r="BB909" t="inlineStr">
        <is>
          <t>9780521205146</t>
        </is>
      </c>
      <c r="BC909" t="inlineStr">
        <is>
          <t>32285001806628</t>
        </is>
      </c>
      <c r="BD909" t="inlineStr">
        <is>
          <t>893887761</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2022-05-21T17:14:50Z</dcterms:created>
  <dcterms:modified xsi:type="dcterms:W3CDTF">2022-05-21T17:14:50Z</dcterms:modified>
</cp:coreProperties>
</file>